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arly.n.michael\Documents\Commercial Sponsorship Active\Accounts\National Guard\"/>
    </mc:Choice>
  </mc:AlternateContent>
  <bookViews>
    <workbookView xWindow="0" yWindow="0" windowWidth="28800" windowHeight="13020" tabRatio="801" activeTab="6"/>
  </bookViews>
  <sheets>
    <sheet name="General Information" sheetId="23" r:id="rId1"/>
    <sheet name="Bowl Arena Screens" sheetId="24" r:id="rId2"/>
    <sheet name="Digital Signs" sheetId="1" r:id="rId3"/>
    <sheet name="Power Tower" sheetId="28" r:id="rId4"/>
    <sheet name="Army MWR Website" sheetId="2" r:id="rId5"/>
    <sheet name="Wallscapes" sheetId="13" r:id="rId6"/>
    <sheet name="Exchange Advertising" sheetId="15" r:id="rId7"/>
    <sheet name="12 month proposal" sheetId="26" r:id="rId8"/>
    <sheet name="6 month proposal" sheetId="27" r:id="rId9"/>
  </sheets>
  <definedNames>
    <definedName name="_xlnm._FilterDatabase" localSheetId="4" hidden="1">'Army MWR Website'!$A$3:$J$124</definedName>
    <definedName name="_xlnm._FilterDatabase" localSheetId="1" hidden="1">'Bowl Arena Screens'!$A$2:$I$48</definedName>
    <definedName name="_xlnm._FilterDatabase" localSheetId="2" hidden="1">'Digital Signs'!$A$2:$I$80</definedName>
    <definedName name="_xlnm._FilterDatabase" localSheetId="6" hidden="1">'Exchange Advertising'!$A$1:$G$310</definedName>
    <definedName name="_xlnm._FilterDatabase" localSheetId="0" hidden="1">'General Information'!$A$2:$N$83</definedName>
    <definedName name="_xlnm._FilterDatabase" localSheetId="5" hidden="1">Wallscapes!$A$2:$M$261</definedName>
  </definedNames>
  <calcPr calcId="152511"/>
</workbook>
</file>

<file path=xl/calcChain.xml><?xml version="1.0" encoding="utf-8"?>
<calcChain xmlns="http://schemas.openxmlformats.org/spreadsheetml/2006/main">
  <c r="C27" i="27" l="1"/>
  <c r="C27" i="26"/>
  <c r="C21" i="27"/>
  <c r="J22" i="1"/>
  <c r="J24" i="1"/>
  <c r="J23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4" i="1"/>
  <c r="M79" i="23"/>
  <c r="H34" i="13"/>
  <c r="F34" i="13" s="1"/>
  <c r="H33" i="13"/>
  <c r="F33" i="13" s="1"/>
  <c r="H31" i="13"/>
  <c r="G31" i="13" s="1"/>
  <c r="H38" i="13"/>
  <c r="F38" i="13" s="1"/>
  <c r="H37" i="13"/>
  <c r="F37" i="13" s="1"/>
  <c r="H36" i="13"/>
  <c r="G36" i="13" s="1"/>
  <c r="H35" i="13"/>
  <c r="F35" i="13" s="1"/>
  <c r="H32" i="13"/>
  <c r="F32" i="13" s="1"/>
  <c r="H30" i="13"/>
  <c r="F30" i="13" s="1"/>
  <c r="H29" i="13"/>
  <c r="G29" i="13" s="1"/>
  <c r="H28" i="13"/>
  <c r="F28" i="13" s="1"/>
  <c r="H27" i="13"/>
  <c r="F27" i="13" s="1"/>
  <c r="H26" i="13"/>
  <c r="F26" i="13" s="1"/>
  <c r="H25" i="13"/>
  <c r="G25" i="13" s="1"/>
  <c r="H24" i="13"/>
  <c r="F24" i="13" s="1"/>
  <c r="H23" i="13"/>
  <c r="F23" i="13" s="1"/>
  <c r="H22" i="13"/>
  <c r="F22" i="13" s="1"/>
  <c r="H19" i="13"/>
  <c r="G19" i="13" s="1"/>
  <c r="H18" i="13"/>
  <c r="F18" i="13" s="1"/>
  <c r="H17" i="13"/>
  <c r="F17" i="13" s="1"/>
  <c r="H15" i="13"/>
  <c r="F15" i="13" s="1"/>
  <c r="H8" i="13"/>
  <c r="G8" i="13" s="1"/>
  <c r="H39" i="13"/>
  <c r="F39" i="13" s="1"/>
  <c r="H20" i="13"/>
  <c r="G20" i="13" s="1"/>
  <c r="H16" i="13"/>
  <c r="F16" i="13" s="1"/>
  <c r="H14" i="13"/>
  <c r="F14" i="13" s="1"/>
  <c r="H13" i="13"/>
  <c r="G13" i="13" s="1"/>
  <c r="H12" i="13"/>
  <c r="F12" i="13" s="1"/>
  <c r="H11" i="13"/>
  <c r="F11" i="13" s="1"/>
  <c r="H10" i="13"/>
  <c r="F10" i="13" s="1"/>
  <c r="H9" i="13"/>
  <c r="G9" i="13" s="1"/>
  <c r="H7" i="13"/>
  <c r="G7" i="13" s="1"/>
  <c r="H6" i="13"/>
  <c r="F6" i="13" s="1"/>
  <c r="H5" i="13"/>
  <c r="F5" i="13" s="1"/>
  <c r="H4" i="13"/>
  <c r="G4" i="13" s="1"/>
  <c r="H3" i="13"/>
  <c r="G3" i="13" s="1"/>
  <c r="H21" i="13"/>
  <c r="G21" i="13" s="1"/>
  <c r="J3" i="1" l="1"/>
  <c r="F21" i="13"/>
  <c r="C29" i="27"/>
  <c r="C30" i="27" s="1"/>
  <c r="C31" i="27" s="1"/>
  <c r="G27" i="13"/>
  <c r="G17" i="13"/>
  <c r="G12" i="13"/>
  <c r="F20" i="13"/>
  <c r="G11" i="13"/>
  <c r="F7" i="13"/>
  <c r="F31" i="13"/>
  <c r="H40" i="13"/>
  <c r="F4" i="13"/>
  <c r="F13" i="13"/>
  <c r="G38" i="13"/>
  <c r="G24" i="13"/>
  <c r="G35" i="13"/>
  <c r="F3" i="13"/>
  <c r="G34" i="13"/>
  <c r="G23" i="13"/>
  <c r="G32" i="13"/>
  <c r="F9" i="13"/>
  <c r="G18" i="13"/>
  <c r="G28" i="13"/>
  <c r="G6" i="13"/>
  <c r="G16" i="13"/>
  <c r="F8" i="13"/>
  <c r="F25" i="13"/>
  <c r="F36" i="13"/>
  <c r="G39" i="13"/>
  <c r="G33" i="13"/>
  <c r="G15" i="13"/>
  <c r="G22" i="13"/>
  <c r="G26" i="13"/>
  <c r="G30" i="13"/>
  <c r="G37" i="13"/>
  <c r="G5" i="13"/>
  <c r="G10" i="13"/>
  <c r="G14" i="13"/>
  <c r="F19" i="13"/>
  <c r="F29" i="13"/>
  <c r="F40" i="13" l="1"/>
  <c r="G40" i="13"/>
  <c r="E40" i="13" l="1"/>
  <c r="C21" i="26"/>
  <c r="J6" i="15"/>
  <c r="I6" i="15"/>
  <c r="H6" i="15"/>
  <c r="G6" i="15"/>
  <c r="G7" i="15"/>
  <c r="I7" i="15" s="1"/>
  <c r="H7" i="15"/>
  <c r="J7" i="15" l="1"/>
  <c r="J5" i="15"/>
  <c r="I5" i="15"/>
  <c r="H5" i="15"/>
  <c r="G5" i="15"/>
  <c r="F5" i="15"/>
  <c r="I3" i="15"/>
  <c r="F3" i="15"/>
  <c r="H3" i="15" s="1"/>
  <c r="C12" i="26"/>
  <c r="D12" i="13"/>
  <c r="D15" i="13"/>
  <c r="J3" i="15" l="1"/>
  <c r="G3" i="15"/>
  <c r="C29" i="26"/>
  <c r="C30" i="26" s="1"/>
  <c r="C31" i="26" s="1"/>
  <c r="J5" i="2"/>
  <c r="J6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8" i="2"/>
  <c r="J29" i="2"/>
  <c r="J30" i="2"/>
  <c r="J31" i="2"/>
  <c r="J32" i="2"/>
  <c r="J33" i="2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8" i="2"/>
  <c r="I29" i="2"/>
  <c r="I30" i="2"/>
  <c r="I31" i="2"/>
  <c r="I32" i="2"/>
  <c r="I33" i="2"/>
  <c r="J4" i="2"/>
  <c r="I4" i="2"/>
  <c r="C15" i="1" l="1"/>
  <c r="C14" i="1"/>
  <c r="C11" i="1"/>
  <c r="C5" i="1"/>
  <c r="C4" i="1"/>
  <c r="C3" i="1" l="1"/>
  <c r="O19" i="23" l="1"/>
  <c r="O18" i="23" l="1"/>
  <c r="I86" i="23" l="1"/>
  <c r="E86" i="23"/>
  <c r="M12" i="23"/>
  <c r="M13" i="23"/>
  <c r="M14" i="23"/>
  <c r="M15" i="23"/>
  <c r="M17" i="23"/>
  <c r="M18" i="23"/>
  <c r="M19" i="23"/>
  <c r="M20" i="23"/>
  <c r="M21" i="23"/>
  <c r="M22" i="23"/>
  <c r="M24" i="23"/>
  <c r="M25" i="23"/>
  <c r="M27" i="23"/>
  <c r="M28" i="23"/>
  <c r="M29" i="23"/>
  <c r="M30" i="23"/>
  <c r="M31" i="23"/>
  <c r="M32" i="23"/>
  <c r="M33" i="23"/>
  <c r="M35" i="23"/>
  <c r="M36" i="23"/>
  <c r="M38" i="23"/>
  <c r="M39" i="23"/>
  <c r="M40" i="23"/>
  <c r="M41" i="23"/>
  <c r="M42" i="23"/>
  <c r="M43" i="23"/>
  <c r="M44" i="23"/>
  <c r="M45" i="23"/>
  <c r="M46" i="23"/>
  <c r="M47" i="23"/>
  <c r="M48" i="23"/>
  <c r="M49" i="23"/>
  <c r="M50" i="23"/>
  <c r="M51" i="23"/>
  <c r="M52" i="23"/>
  <c r="M53" i="23"/>
  <c r="M54" i="23"/>
  <c r="M55" i="23"/>
  <c r="M56" i="23"/>
  <c r="M57" i="23"/>
  <c r="M58" i="23"/>
  <c r="M59" i="23"/>
  <c r="M60" i="23"/>
  <c r="M61" i="23"/>
  <c r="M62" i="23"/>
  <c r="M63" i="23"/>
  <c r="M64" i="23"/>
  <c r="M65" i="23"/>
  <c r="M66" i="23"/>
  <c r="M67" i="23"/>
  <c r="M69" i="23"/>
  <c r="M70" i="23"/>
  <c r="M71" i="23"/>
  <c r="M72" i="23"/>
  <c r="M73" i="23"/>
  <c r="M74" i="23"/>
  <c r="M75" i="23"/>
  <c r="M76" i="23"/>
  <c r="M77" i="23"/>
  <c r="M78" i="23"/>
  <c r="M80" i="23"/>
  <c r="M81" i="23"/>
  <c r="M82" i="23"/>
  <c r="M83" i="23"/>
  <c r="M84" i="23"/>
  <c r="M85" i="23"/>
  <c r="M4" i="23"/>
  <c r="M5" i="23"/>
  <c r="M6" i="23"/>
  <c r="M7" i="23"/>
  <c r="M8" i="23"/>
  <c r="M9" i="23"/>
  <c r="M10" i="23"/>
  <c r="M11" i="23"/>
  <c r="M3" i="23"/>
  <c r="M86" i="23" s="1"/>
  <c r="G37" i="23"/>
  <c r="F37" i="23"/>
  <c r="E37" i="23"/>
  <c r="M37" i="23" s="1"/>
  <c r="G11" i="23"/>
  <c r="G86" i="23" s="1"/>
  <c r="F11" i="23"/>
  <c r="F86" i="23" s="1"/>
  <c r="E11" i="23"/>
  <c r="D27" i="2" l="1"/>
  <c r="I27" i="2" l="1"/>
  <c r="J27" i="2"/>
  <c r="E5" i="24"/>
  <c r="I5" i="24" s="1"/>
  <c r="E4" i="24"/>
  <c r="F4" i="24" s="1"/>
  <c r="E6" i="24"/>
  <c r="I6" i="24" s="1"/>
  <c r="E7" i="24"/>
  <c r="H7" i="24" s="1"/>
  <c r="E8" i="24"/>
  <c r="H8" i="24" s="1"/>
  <c r="E9" i="24"/>
  <c r="F9" i="24" s="1"/>
  <c r="E10" i="24"/>
  <c r="I10" i="24" s="1"/>
  <c r="E11" i="24"/>
  <c r="G11" i="24" s="1"/>
  <c r="E12" i="24"/>
  <c r="H12" i="24" s="1"/>
  <c r="E13" i="24"/>
  <c r="I13" i="24" s="1"/>
  <c r="E14" i="24"/>
  <c r="I14" i="24" s="1"/>
  <c r="E15" i="24"/>
  <c r="F15" i="24" s="1"/>
  <c r="E16" i="24"/>
  <c r="I16" i="24" s="1"/>
  <c r="E17" i="24"/>
  <c r="I17" i="24" s="1"/>
  <c r="E18" i="24"/>
  <c r="G18" i="24" s="1"/>
  <c r="E19" i="24"/>
  <c r="H19" i="24" s="1"/>
  <c r="E20" i="24"/>
  <c r="I20" i="24" s="1"/>
  <c r="E21" i="24"/>
  <c r="I21" i="24" s="1"/>
  <c r="E22" i="24"/>
  <c r="F22" i="24" s="1"/>
  <c r="E23" i="24"/>
  <c r="H23" i="24" s="1"/>
  <c r="E24" i="24"/>
  <c r="I24" i="24" s="1"/>
  <c r="E25" i="24"/>
  <c r="I25" i="24" s="1"/>
  <c r="E26" i="24"/>
  <c r="G26" i="24" s="1"/>
  <c r="E27" i="24"/>
  <c r="H27" i="24" s="1"/>
  <c r="E28" i="24"/>
  <c r="I28" i="24" s="1"/>
  <c r="E29" i="24"/>
  <c r="I29" i="24" s="1"/>
  <c r="E30" i="24"/>
  <c r="F30" i="24" s="1"/>
  <c r="E31" i="24"/>
  <c r="H31" i="24" s="1"/>
  <c r="E32" i="24"/>
  <c r="I32" i="24" s="1"/>
  <c r="E33" i="24"/>
  <c r="I33" i="24" s="1"/>
  <c r="E34" i="24"/>
  <c r="G34" i="24" s="1"/>
  <c r="E35" i="24"/>
  <c r="I35" i="24" s="1"/>
  <c r="E36" i="24"/>
  <c r="H36" i="24" s="1"/>
  <c r="E37" i="24"/>
  <c r="I37" i="24" s="1"/>
  <c r="E38" i="24"/>
  <c r="I38" i="24" s="1"/>
  <c r="E39" i="24"/>
  <c r="G39" i="24" s="1"/>
  <c r="E40" i="24"/>
  <c r="I40" i="24" s="1"/>
  <c r="E41" i="24"/>
  <c r="H41" i="24" s="1"/>
  <c r="E42" i="24"/>
  <c r="I42" i="24" s="1"/>
  <c r="E43" i="24"/>
  <c r="H43" i="24" s="1"/>
  <c r="E44" i="24"/>
  <c r="H44" i="24" s="1"/>
  <c r="E45" i="24"/>
  <c r="H45" i="24" s="1"/>
  <c r="E46" i="24"/>
  <c r="G46" i="24" s="1"/>
  <c r="E47" i="24"/>
  <c r="H47" i="24" s="1"/>
  <c r="E3" i="24"/>
  <c r="I3" i="24" s="1"/>
  <c r="C48" i="24"/>
  <c r="H25" i="24" l="1"/>
  <c r="I4" i="24"/>
  <c r="H38" i="24"/>
  <c r="H10" i="24"/>
  <c r="H33" i="24"/>
  <c r="F10" i="24"/>
  <c r="H17" i="24"/>
  <c r="F6" i="24"/>
  <c r="H42" i="24"/>
  <c r="H37" i="24"/>
  <c r="H32" i="24"/>
  <c r="H24" i="24"/>
  <c r="H16" i="24"/>
  <c r="H9" i="24"/>
  <c r="F3" i="24"/>
  <c r="H40" i="24"/>
  <c r="H35" i="24"/>
  <c r="H28" i="24"/>
  <c r="H20" i="24"/>
  <c r="H13" i="24"/>
  <c r="H4" i="24"/>
  <c r="H3" i="24"/>
  <c r="H29" i="24"/>
  <c r="H21" i="24"/>
  <c r="H14" i="24"/>
  <c r="H6" i="24"/>
  <c r="F46" i="24"/>
  <c r="F39" i="24"/>
  <c r="F34" i="24"/>
  <c r="F26" i="24"/>
  <c r="F18" i="24"/>
  <c r="F11" i="24"/>
  <c r="G30" i="24"/>
  <c r="G22" i="24"/>
  <c r="G15" i="24"/>
  <c r="G7" i="24"/>
  <c r="I46" i="24"/>
  <c r="I39" i="24"/>
  <c r="I34" i="24"/>
  <c r="I30" i="24"/>
  <c r="I26" i="24"/>
  <c r="I22" i="24"/>
  <c r="I18" i="24"/>
  <c r="I15" i="24"/>
  <c r="I11" i="24"/>
  <c r="I7" i="24"/>
  <c r="F7" i="24"/>
  <c r="F47" i="24"/>
  <c r="F44" i="24"/>
  <c r="F41" i="24"/>
  <c r="F36" i="24"/>
  <c r="F31" i="24"/>
  <c r="F23" i="24"/>
  <c r="G47" i="24"/>
  <c r="G45" i="24"/>
  <c r="G43" i="24"/>
  <c r="G41" i="24"/>
  <c r="G36" i="24"/>
  <c r="G31" i="24"/>
  <c r="G23" i="24"/>
  <c r="G19" i="24"/>
  <c r="G12" i="24"/>
  <c r="G8" i="24"/>
  <c r="I47" i="24"/>
  <c r="I44" i="24"/>
  <c r="I43" i="24"/>
  <c r="I41" i="24"/>
  <c r="I31" i="24"/>
  <c r="I27" i="24"/>
  <c r="I23" i="24"/>
  <c r="I19" i="24"/>
  <c r="I12" i="24"/>
  <c r="F8" i="24"/>
  <c r="F42" i="24"/>
  <c r="F40" i="24"/>
  <c r="F37" i="24"/>
  <c r="F35" i="24"/>
  <c r="F32" i="24"/>
  <c r="F28" i="24"/>
  <c r="F24" i="24"/>
  <c r="F20" i="24"/>
  <c r="F16" i="24"/>
  <c r="F13" i="24"/>
  <c r="G42" i="24"/>
  <c r="G40" i="24"/>
  <c r="G37" i="24"/>
  <c r="G35" i="24"/>
  <c r="G32" i="24"/>
  <c r="G28" i="24"/>
  <c r="G24" i="24"/>
  <c r="G20" i="24"/>
  <c r="G16" i="24"/>
  <c r="G13" i="24"/>
  <c r="G9" i="24"/>
  <c r="G4" i="24"/>
  <c r="H46" i="24"/>
  <c r="H39" i="24"/>
  <c r="H34" i="24"/>
  <c r="H30" i="24"/>
  <c r="H26" i="24"/>
  <c r="H22" i="24"/>
  <c r="H18" i="24"/>
  <c r="H15" i="24"/>
  <c r="H11" i="24"/>
  <c r="I9" i="24"/>
  <c r="E48" i="24"/>
  <c r="F45" i="24"/>
  <c r="F43" i="24"/>
  <c r="F27" i="24"/>
  <c r="F19" i="24"/>
  <c r="F12" i="24"/>
  <c r="G44" i="24"/>
  <c r="G27" i="24"/>
  <c r="I45" i="24"/>
  <c r="I36" i="24"/>
  <c r="I8" i="24"/>
  <c r="F38" i="24"/>
  <c r="F33" i="24"/>
  <c r="F29" i="24"/>
  <c r="F25" i="24"/>
  <c r="F21" i="24"/>
  <c r="F17" i="24"/>
  <c r="F14" i="24"/>
  <c r="G3" i="24"/>
  <c r="G38" i="24"/>
  <c r="G33" i="24"/>
  <c r="G29" i="24"/>
  <c r="G25" i="24"/>
  <c r="G21" i="24"/>
  <c r="G17" i="24"/>
  <c r="G14" i="24"/>
  <c r="G10" i="24"/>
  <c r="G6" i="24"/>
  <c r="F5" i="24"/>
  <c r="H5" i="24"/>
  <c r="G5" i="24"/>
  <c r="L19" i="23"/>
  <c r="H8" i="23"/>
  <c r="H86" i="23" s="1"/>
  <c r="I48" i="24" l="1"/>
  <c r="H48" i="24"/>
  <c r="G48" i="24"/>
  <c r="F48" i="24"/>
  <c r="L82" i="23"/>
  <c r="L68" i="23"/>
  <c r="L73" i="23"/>
  <c r="L72" i="23"/>
  <c r="L74" i="23"/>
  <c r="L76" i="23"/>
  <c r="L79" i="23"/>
  <c r="L81" i="23"/>
  <c r="L80" i="23"/>
  <c r="L77" i="23"/>
  <c r="L78" i="23"/>
  <c r="L84" i="23"/>
  <c r="L57" i="23"/>
  <c r="L59" i="23"/>
  <c r="L61" i="23"/>
  <c r="L60" i="23"/>
  <c r="L62" i="23"/>
  <c r="L64" i="23"/>
  <c r="L63" i="23"/>
  <c r="L65" i="23"/>
  <c r="L69" i="23"/>
  <c r="L67" i="23"/>
  <c r="L70" i="23"/>
  <c r="L71" i="23"/>
  <c r="L49" i="23"/>
  <c r="L50" i="23"/>
  <c r="L51" i="23"/>
  <c r="L52" i="23"/>
  <c r="L53" i="23"/>
  <c r="L54" i="23"/>
  <c r="L55" i="23"/>
  <c r="L56" i="23"/>
  <c r="L47" i="23"/>
  <c r="L46" i="23"/>
  <c r="L45" i="23"/>
  <c r="L48" i="23"/>
  <c r="L36" i="23"/>
  <c r="L37" i="23"/>
  <c r="L38" i="23"/>
  <c r="L39" i="23"/>
  <c r="L42" i="23"/>
  <c r="L41" i="23"/>
  <c r="L43" i="23"/>
  <c r="L44" i="23"/>
  <c r="L22" i="23"/>
  <c r="L26" i="23"/>
  <c r="L27" i="23"/>
  <c r="L21" i="23"/>
  <c r="L28" i="23"/>
  <c r="L29" i="23"/>
  <c r="L24" i="23"/>
  <c r="L25" i="23"/>
  <c r="L30" i="23"/>
  <c r="L31" i="23"/>
  <c r="L23" i="23"/>
  <c r="L32" i="23"/>
  <c r="L34" i="23"/>
  <c r="L12" i="23"/>
  <c r="L14" i="23"/>
  <c r="L15" i="23"/>
  <c r="L66" i="23"/>
  <c r="L17" i="23"/>
  <c r="L16" i="23"/>
  <c r="L20" i="23"/>
  <c r="L18" i="23"/>
  <c r="L4" i="23"/>
  <c r="L7" i="23"/>
  <c r="L6" i="23"/>
  <c r="L8" i="23"/>
  <c r="L10" i="23"/>
  <c r="L11" i="23"/>
  <c r="L13" i="23"/>
  <c r="L3" i="23"/>
  <c r="L5" i="23"/>
  <c r="L85" i="23"/>
  <c r="J58" i="23" l="1"/>
  <c r="J86" i="23" s="1"/>
  <c r="K58" i="23"/>
  <c r="K86" i="23" s="1"/>
  <c r="L58" i="23" l="1"/>
  <c r="L86" i="23" s="1"/>
  <c r="I4" i="1"/>
  <c r="I17" i="1" l="1"/>
  <c r="I22" i="1"/>
  <c r="I15" i="1"/>
  <c r="F15" i="1"/>
  <c r="E15" i="1"/>
  <c r="D15" i="1"/>
  <c r="I19" i="1"/>
  <c r="F19" i="1"/>
  <c r="E19" i="1"/>
  <c r="D19" i="1"/>
  <c r="I24" i="1" l="1"/>
  <c r="I23" i="1"/>
  <c r="I10" i="1"/>
  <c r="F10" i="1"/>
  <c r="E10" i="1"/>
  <c r="D10" i="1"/>
  <c r="F4" i="1"/>
  <c r="E4" i="1"/>
  <c r="D4" i="1"/>
  <c r="I11" i="1"/>
  <c r="F11" i="1"/>
  <c r="E11" i="1"/>
  <c r="D11" i="1"/>
  <c r="I21" i="1"/>
  <c r="F21" i="1"/>
  <c r="E21" i="1"/>
  <c r="D21" i="1"/>
  <c r="I20" i="1"/>
  <c r="F16" i="1"/>
  <c r="E16" i="1"/>
  <c r="D16" i="1"/>
  <c r="I13" i="1"/>
  <c r="F13" i="1"/>
  <c r="E13" i="1"/>
  <c r="D13" i="1"/>
  <c r="I9" i="1"/>
  <c r="F9" i="1"/>
  <c r="E9" i="1"/>
  <c r="D9" i="1"/>
  <c r="I18" i="1"/>
  <c r="F18" i="1"/>
  <c r="E18" i="1"/>
  <c r="D18" i="1"/>
  <c r="I14" i="1"/>
  <c r="F14" i="1"/>
  <c r="E14" i="1"/>
  <c r="D14" i="1"/>
  <c r="I6" i="1"/>
  <c r="I5" i="1"/>
  <c r="F5" i="1"/>
  <c r="E5" i="1"/>
  <c r="D5" i="1"/>
  <c r="I16" i="1"/>
  <c r="I7" i="1" l="1"/>
  <c r="I8" i="1"/>
  <c r="I12" i="1"/>
  <c r="F12" i="1"/>
  <c r="F3" i="1" s="1"/>
  <c r="E12" i="1"/>
  <c r="D12" i="1"/>
  <c r="I3" i="1" l="1"/>
  <c r="E3" i="1"/>
  <c r="D3" i="1"/>
</calcChain>
</file>

<file path=xl/comments1.xml><?xml version="1.0" encoding="utf-8"?>
<comments xmlns="http://schemas.openxmlformats.org/spreadsheetml/2006/main">
  <authors>
    <author>carly.michael</author>
  </authors>
  <commentList>
    <comment ref="C7" authorId="0" shapeId="0">
      <text>
        <r>
          <rPr>
            <b/>
            <sz val="9"/>
            <color indexed="81"/>
            <rFont val="Tahoma"/>
            <family val="2"/>
          </rPr>
          <t>MAP SAYS 41 + 10 COMING, DS SHEET SAYS 44, WHICH IS CORRECT???</t>
        </r>
      </text>
    </comment>
  </commentList>
</comments>
</file>

<file path=xl/comments2.xml><?xml version="1.0" encoding="utf-8"?>
<comments xmlns="http://schemas.openxmlformats.org/spreadsheetml/2006/main">
  <authors>
    <author>Rick N Carly</author>
    <author>carly.n.michael</author>
  </authors>
  <commentList>
    <comment ref="I3" authorId="0" shapeId="0">
      <text>
        <r>
          <rPr>
            <b/>
            <sz val="9"/>
            <color indexed="81"/>
            <rFont val="Tahoma"/>
            <family val="2"/>
          </rPr>
          <t>Above the fold 
Not to exceed 40K Not to exceed :15 sec</t>
        </r>
      </text>
    </comment>
    <comment ref="J3" authorId="1" shapeId="0">
      <text>
        <r>
          <rPr>
            <b/>
            <sz val="9"/>
            <color indexed="81"/>
            <rFont val="Tahoma"/>
            <family val="2"/>
          </rPr>
          <t xml:space="preserve">Will be seen as browsers scroll over the navigation bar
</t>
        </r>
      </text>
    </comment>
  </commentList>
</comments>
</file>

<file path=xl/sharedStrings.xml><?xml version="1.0" encoding="utf-8"?>
<sst xmlns="http://schemas.openxmlformats.org/spreadsheetml/2006/main" count="941" uniqueCount="482">
  <si>
    <t>Market Name</t>
  </si>
  <si>
    <t>18+ Population</t>
  </si>
  <si>
    <t>Total Advertisers</t>
  </si>
  <si>
    <t>Seconds Per Spot</t>
  </si>
  <si>
    <t>Weekly Rate</t>
  </si>
  <si>
    <t>3 Day Rate</t>
  </si>
  <si>
    <t>Daily Rate</t>
  </si>
  <si>
    <t>Reach</t>
  </si>
  <si>
    <t>Frequency</t>
  </si>
  <si>
    <t>Alabama</t>
  </si>
  <si>
    <t>Arizona</t>
  </si>
  <si>
    <t>Arkansas</t>
  </si>
  <si>
    <t>California</t>
  </si>
  <si>
    <t>Colorado</t>
  </si>
  <si>
    <t>Florida</t>
  </si>
  <si>
    <t>Georgia</t>
  </si>
  <si>
    <t>Illinois</t>
  </si>
  <si>
    <t>Kansas</t>
  </si>
  <si>
    <t>Kentucky</t>
  </si>
  <si>
    <t>Louisiana</t>
  </si>
  <si>
    <t>Michigan</t>
  </si>
  <si>
    <t>Missouri</t>
  </si>
  <si>
    <t>New Mexico</t>
  </si>
  <si>
    <t>New York</t>
  </si>
  <si>
    <t>North Carolina</t>
  </si>
  <si>
    <t>Ohio</t>
  </si>
  <si>
    <t>Oklahoma</t>
  </si>
  <si>
    <t>Pennsylvania</t>
  </si>
  <si>
    <t>Texas</t>
  </si>
  <si>
    <t>Virginia</t>
  </si>
  <si>
    <t>Washington</t>
  </si>
  <si>
    <t>Wisconsin</t>
  </si>
  <si>
    <t>Maryland</t>
  </si>
  <si>
    <t>Massachusetts</t>
  </si>
  <si>
    <t>Utah</t>
  </si>
  <si>
    <t xml:space="preserve">Market Type </t>
  </si>
  <si>
    <t xml:space="preserve">Custom Market </t>
  </si>
  <si>
    <t>Installation Name</t>
  </si>
  <si>
    <t>Fort Benning</t>
  </si>
  <si>
    <t>Fort Bliss</t>
  </si>
  <si>
    <t>Blue Grass Army Depot</t>
  </si>
  <si>
    <t>Fort Bragg</t>
  </si>
  <si>
    <t>Fort Buchanan</t>
  </si>
  <si>
    <t>Puerto Rico</t>
  </si>
  <si>
    <t>Fort Carson</t>
  </si>
  <si>
    <t>Detroit Arsenal</t>
  </si>
  <si>
    <t>Aberdeen Proving Ground</t>
  </si>
  <si>
    <t>Anniston Army Depot</t>
  </si>
  <si>
    <t>Fort AP Hill</t>
  </si>
  <si>
    <t>Fort Belvoir</t>
  </si>
  <si>
    <t>Fort Detrick</t>
  </si>
  <si>
    <t>Fort Drum</t>
  </si>
  <si>
    <t>Dugway Proving Ground</t>
  </si>
  <si>
    <t>Fort Gordon</t>
  </si>
  <si>
    <t>Fort Hamilton</t>
  </si>
  <si>
    <t>Fort Hood</t>
  </si>
  <si>
    <t>Fort Huachuca</t>
  </si>
  <si>
    <t>Fort Hunter-Liggett</t>
  </si>
  <si>
    <t>Fort Irwin</t>
  </si>
  <si>
    <t>Fort Jackson</t>
  </si>
  <si>
    <t>Fort Knox</t>
  </si>
  <si>
    <t>Fort Lee</t>
  </si>
  <si>
    <t>Fort Leonard Wood</t>
  </si>
  <si>
    <t>Joint Base Lewis-McChord</t>
  </si>
  <si>
    <t>Fort George G Meade</t>
  </si>
  <si>
    <t>McAlester Ammunition Plant</t>
  </si>
  <si>
    <t>Fort McCoy</t>
  </si>
  <si>
    <t>Fort McNair</t>
  </si>
  <si>
    <t>Joint Base Meyer-Henderson Hall</t>
  </si>
  <si>
    <t>Natick and Fort Devens</t>
  </si>
  <si>
    <t>Picatinny Arsenal</t>
  </si>
  <si>
    <t>Pine Bluff Arsenal</t>
  </si>
  <si>
    <t xml:space="preserve">Fort Polk </t>
  </si>
  <si>
    <t>Red River Army Depot</t>
  </si>
  <si>
    <t>Redstone Arsenal</t>
  </si>
  <si>
    <t>Fort Riley</t>
  </si>
  <si>
    <t>Rock Island Arsenal</t>
  </si>
  <si>
    <t>Fort Rucker</t>
  </si>
  <si>
    <t>Fort Sill</t>
  </si>
  <si>
    <t>Sierra Army Depot</t>
  </si>
  <si>
    <t>Tobyhanna</t>
  </si>
  <si>
    <t>Tooele Army Depot</t>
  </si>
  <si>
    <t>West Point</t>
  </si>
  <si>
    <t>Yuma Proving Ground</t>
  </si>
  <si>
    <t>DLA -Battle Creek</t>
  </si>
  <si>
    <t>DLA - Columbus</t>
  </si>
  <si>
    <t>DLA - Richmond</t>
  </si>
  <si>
    <t>DLA - Susquehanna &amp; Cumberland</t>
  </si>
  <si>
    <t>USAG Daegu Direct (Camp Walker, Henry, George, Carrol)</t>
  </si>
  <si>
    <t>USAG Hawaii Direct (Schofield Barracks, Fort Shafter, Wheeler AFB)</t>
  </si>
  <si>
    <t>USAG Red Cloud Direct (Camp Stanley, Hovey, Casey &amp; Red Cloud)</t>
  </si>
  <si>
    <t xml:space="preserve">USAG Fort Wainright </t>
  </si>
  <si>
    <t>USAG Yongsan</t>
  </si>
  <si>
    <t>USAG Ansbach</t>
  </si>
  <si>
    <t>USAG Baumholder</t>
  </si>
  <si>
    <t>USAG Benelux (Chievres &amp; Brussels Community)</t>
  </si>
  <si>
    <t>USAG Bavaria (USAG Grafenwoeher &amp; Garmisch Community)</t>
  </si>
  <si>
    <t>USAG Hohenfels</t>
  </si>
  <si>
    <t>Schinnen Community</t>
  </si>
  <si>
    <t>Schweinfurt</t>
  </si>
  <si>
    <t>USAG Stuttgart</t>
  </si>
  <si>
    <t>USAG Wiesbaden</t>
  </si>
  <si>
    <t>USAG Vicenza</t>
  </si>
  <si>
    <t>Dragon Hill Lodge</t>
  </si>
  <si>
    <t>South Korea</t>
  </si>
  <si>
    <t>Germany</t>
  </si>
  <si>
    <t>Hale Koa (Kilaue Military Camp)</t>
  </si>
  <si>
    <t>Shades of Green Resort</t>
  </si>
  <si>
    <t>Italy</t>
  </si>
  <si>
    <t>Belgium</t>
  </si>
  <si>
    <t>Japan</t>
  </si>
  <si>
    <t>Alaska</t>
  </si>
  <si>
    <t>Hawaii</t>
  </si>
  <si>
    <t>Washington DC</t>
  </si>
  <si>
    <t>Fort Campbell</t>
  </si>
  <si>
    <t>Joint Base Eustis-Langley</t>
  </si>
  <si>
    <t>Presidio of Monterey</t>
  </si>
  <si>
    <t>USAG Rhineland-PFALZ (Kaiserslautern &amp; Baumholder)</t>
  </si>
  <si>
    <t>Edelweiss Lodge &amp; Resort</t>
  </si>
  <si>
    <t>New Jersey</t>
  </si>
  <si>
    <t>White Sands Missile Range</t>
  </si>
  <si>
    <t>Carlisle Barracks (Letterkenny / Fort Indiantown GAP)</t>
  </si>
  <si>
    <t>USAG Torii Station (indirect)</t>
  </si>
  <si>
    <t>State /Country</t>
  </si>
  <si>
    <t>Total Digital Signs</t>
  </si>
  <si>
    <t>Fort Stewart &amp; Hunter Army Airfield</t>
  </si>
  <si>
    <t>Unique Impressions</t>
  </si>
  <si>
    <t>Zip Code</t>
  </si>
  <si>
    <t>Total Population</t>
  </si>
  <si>
    <t>1 month 1 main screen exposures (1 x 10 min)</t>
  </si>
  <si>
    <t>12 Month 3 Bars Exposures</t>
  </si>
  <si>
    <t>12 month rate (20% discount)</t>
  </si>
  <si>
    <t>N/A</t>
  </si>
  <si>
    <t>Total:</t>
  </si>
  <si>
    <t>12 month 1 main screen exposures              (1 x 10 min)</t>
  </si>
  <si>
    <t>25???</t>
  </si>
  <si>
    <t>All enterprise</t>
  </si>
  <si>
    <t>Average Session Duration</t>
  </si>
  <si>
    <t>Retiree Population</t>
  </si>
  <si>
    <t>DoD Civilian Population</t>
  </si>
  <si>
    <t>Reserve / National Guard Population</t>
  </si>
  <si>
    <t># screens</t>
  </si>
  <si>
    <t>Total Reach</t>
  </si>
  <si>
    <t>1 Month Rate</t>
  </si>
  <si>
    <t>Top 5 Visited Pages</t>
  </si>
  <si>
    <t>Bounce Rate</t>
  </si>
  <si>
    <t>1-Home 2-CYS 3-MWR Online 4-Directory 5-CDC</t>
  </si>
  <si>
    <t>1-homepage 2-events index 3-lodging 4-calendar 5-outdoor recreation</t>
  </si>
  <si>
    <t>Trainees</t>
  </si>
  <si>
    <t>1-homepage 2-recreation      3-fitness 4-library 5-pools</t>
  </si>
  <si>
    <t>1-homepage 2-Points West Army Resort 3-Sports &amp; Recreation 4-CYSS 5-Outdoor Recreation</t>
  </si>
  <si>
    <t>September 1, 2013 through August 31, 2014</t>
  </si>
  <si>
    <t>Camp Darby</t>
  </si>
  <si>
    <t xml:space="preserve">USAG Vicenza </t>
  </si>
  <si>
    <t>Garmisch Community</t>
  </si>
  <si>
    <t>USAG Grafenwoeher</t>
  </si>
  <si>
    <t xml:space="preserve">USAG Bavaria </t>
  </si>
  <si>
    <t xml:space="preserve">Kaiserslautern </t>
  </si>
  <si>
    <t>Single Soldiers</t>
  </si>
  <si>
    <t>1-homepage 2-gyms 3-All American Marathon 4-lodging 5-acquatics</t>
  </si>
  <si>
    <t>1-homepage 2-outdoor recreation 3-gyms 4-Lake Tholocco Lodging 5-event calendar</t>
  </si>
  <si>
    <t>1-homepage 2-dining Alaska Mining Co. 3-outdoor pool 4-recreation 5-garrison resources</t>
  </si>
  <si>
    <t>1-home 2-campground              3-concert 4-e-newsletter         5-outdoor recreation equipment rental</t>
  </si>
  <si>
    <t>1-homepage 2-Cheyenne Mountain Shooting Complex       3-Cheyenne Shadows Golf Course 4- CYSS registration      5- CYSS homepage</t>
  </si>
  <si>
    <t>Watervliet</t>
  </si>
  <si>
    <t>1-homepage 2-sports &amp; fitness 3-Birch Hill Ski Area 4-outdoor recreation 5-CYSS</t>
  </si>
  <si>
    <t>1-homepage 2-library 3-Pililaau Army Recreation         4-Lodging 5-July 4th</t>
  </si>
  <si>
    <t>?</t>
  </si>
  <si>
    <t>South Carolina</t>
  </si>
  <si>
    <t>Fort Leavenworth</t>
  </si>
  <si>
    <t>1- announcements 2-calendar 3-Leisure Travel 4- Athletics 5-CYSS</t>
  </si>
  <si>
    <t>1-Home 2-CYSS 3-Outdoor Rec 4-Golf 5-Leisure Travel</t>
  </si>
  <si>
    <t>1-Hunting &amp; fishing update 2-Homepage 3-Outdoor Recreation 4-Hunting &amp; Fishing 5-Outdoor Maps</t>
  </si>
  <si>
    <t>Fort Benning - Family Entertainment Center</t>
  </si>
  <si>
    <t>Fort Benning - Mall Bowling Center</t>
  </si>
  <si>
    <t>Fort Bragg - Dragon Lanes</t>
  </si>
  <si>
    <t>Fort Bragg - Airborne Lanes</t>
  </si>
  <si>
    <t>Fort Jackson -Ivy Lanes</t>
  </si>
  <si>
    <t>Fort Jackson - Century Lanes</t>
  </si>
  <si>
    <t>Fort Stewart &amp; Hunter Army Airfield - Stewart Lanes</t>
  </si>
  <si>
    <t>Fort Stewart &amp; Hunter Army Airfield -Marne Lanes</t>
  </si>
  <si>
    <t>Joint Base Lewis-McChord - Lewis Main</t>
  </si>
  <si>
    <t>USAG Ansbach - Katterbach Bowling Center</t>
  </si>
  <si>
    <t>USAG Ansbach - Illesheim Bowling Center</t>
  </si>
  <si>
    <t>USAG Bavaria Grafenwoeher - East Camp Bowling Center</t>
  </si>
  <si>
    <t>USAG Bavaria Grafenwoeher - South Camp Bowling Center</t>
  </si>
  <si>
    <t xml:space="preserve">USAG Red Cloud Direct - Camp Casey </t>
  </si>
  <si>
    <t>USAG Yongsan - K16</t>
  </si>
  <si>
    <t>USAG Hawaii Direct - Fort Shafter</t>
  </si>
  <si>
    <t>USAG Hawaii Direct - Wheeler</t>
  </si>
  <si>
    <t>USAG Hawaii Direct - Schofield Barracks</t>
  </si>
  <si>
    <t>USAG Hawaii Direct -  AFRC Kilauea Military Camp</t>
  </si>
  <si>
    <t xml:space="preserve">USAG Rhineland -  Kaiserslautern </t>
  </si>
  <si>
    <t>Vicenza</t>
  </si>
  <si>
    <t>3 Month Rate    (10% discount)</t>
  </si>
  <si>
    <t>6 Month Rate    (15% discount)</t>
  </si>
  <si>
    <t>9 Month Rate (20% discount)</t>
  </si>
  <si>
    <t>12 Month Rate    (25% discount)</t>
  </si>
  <si>
    <t>Fort Stewart</t>
  </si>
  <si>
    <t>1-Libraries, 2-Homepage 3-Warrior Zone 4-Fitness 5-CYS</t>
  </si>
  <si>
    <t xml:space="preserve">ArmyMWR.com </t>
  </si>
  <si>
    <t>1-hunting 2-fitness                 3-leisure travel 4-acquatics 5-wellness center</t>
  </si>
  <si>
    <t>1-homepage 2-officers club (Meyer) 3-officers club (McNair) 4-fitenss                         5-recreation center</t>
  </si>
  <si>
    <t>Active Duty Army Population</t>
  </si>
  <si>
    <t>Army Spouses</t>
  </si>
  <si>
    <t>Army Children</t>
  </si>
  <si>
    <t>Dothan</t>
  </si>
  <si>
    <t>DMA</t>
  </si>
  <si>
    <t>Huntsville-Decatur (Flor)</t>
  </si>
  <si>
    <t>Oxford</t>
  </si>
  <si>
    <t>Fairbanks</t>
  </si>
  <si>
    <t>Tucson (Sierra Vista)</t>
  </si>
  <si>
    <t xml:space="preserve">Phoenix   </t>
  </si>
  <si>
    <t xml:space="preserve">Little Rock </t>
  </si>
  <si>
    <t>Monterey-Salinas</t>
  </si>
  <si>
    <t>Los Angeles</t>
  </si>
  <si>
    <t>Reno</t>
  </si>
  <si>
    <t>Colorado Springs-Pueblo</t>
  </si>
  <si>
    <t xml:space="preserve">Orlando  </t>
  </si>
  <si>
    <t>Miami</t>
  </si>
  <si>
    <t>USAG Miami (Southern Command)</t>
  </si>
  <si>
    <t>Augusta</t>
  </si>
  <si>
    <t>Savannah</t>
  </si>
  <si>
    <t>Columbus, GA (Opelika, Al)</t>
  </si>
  <si>
    <t>USAG Rhineland-PFALZ (Kaiserslautern)</t>
  </si>
  <si>
    <t>Honolulu</t>
  </si>
  <si>
    <t>USAG Hawaii Direct (Fort Shafter &amp; Wheeler AFB)</t>
  </si>
  <si>
    <t>USAG Hawaii Direct (Schofield Barracks)</t>
  </si>
  <si>
    <t>Davenport-R.Island-Moline</t>
  </si>
  <si>
    <t>USAG Japan (Camp Zuma &amp; Okinawa)</t>
  </si>
  <si>
    <t>Topeka</t>
  </si>
  <si>
    <t>Kansas City</t>
  </si>
  <si>
    <t>Nashville</t>
  </si>
  <si>
    <t>Lexington</t>
  </si>
  <si>
    <t>Louisville</t>
  </si>
  <si>
    <t>Alexandria</t>
  </si>
  <si>
    <t>Baltimore</t>
  </si>
  <si>
    <t>Washington, DC (Hagrstwn)</t>
  </si>
  <si>
    <t>Framingham</t>
  </si>
  <si>
    <t>Detroit</t>
  </si>
  <si>
    <t>Springfield, Mo</t>
  </si>
  <si>
    <t>Philadelphia</t>
  </si>
  <si>
    <t>El Paso (Las Cruces)</t>
  </si>
  <si>
    <t>Watertown</t>
  </si>
  <si>
    <t>Albany</t>
  </si>
  <si>
    <t>Columbus, OH</t>
  </si>
  <si>
    <t>Wichita Falls &amp; Lawton</t>
  </si>
  <si>
    <t>Oklahoma City</t>
  </si>
  <si>
    <t>Harrisburg-Lncstr-Leb-York</t>
  </si>
  <si>
    <t>Scranton</t>
  </si>
  <si>
    <t>San Juan</t>
  </si>
  <si>
    <t>Columbia, SC</t>
  </si>
  <si>
    <t>Waco-Temple-Bryan</t>
  </si>
  <si>
    <t>Texarkana</t>
  </si>
  <si>
    <t>Salt Lake City</t>
  </si>
  <si>
    <t>Richmond-Petersburg</t>
  </si>
  <si>
    <t>Bowling Green</t>
  </si>
  <si>
    <t>Norfolk-Portsmth-Newpt Nws</t>
  </si>
  <si>
    <t>Seattle-Tacoma</t>
  </si>
  <si>
    <t>Yakima</t>
  </si>
  <si>
    <t>Yakiom Training Center</t>
  </si>
  <si>
    <t>La Crosse-Eau Claire</t>
  </si>
  <si>
    <t>Fort Richardson</t>
  </si>
  <si>
    <t>Anchorage</t>
  </si>
  <si>
    <t xml:space="preserve">Fort Bragg </t>
  </si>
  <si>
    <t>Medium Rectangle   (300 x 250)</t>
  </si>
  <si>
    <t>Not Avail.</t>
  </si>
  <si>
    <t>Not Available</t>
  </si>
  <si>
    <t>USAG Bamberg (indirect under Ansbach)</t>
  </si>
  <si>
    <t>Ft Drum</t>
  </si>
  <si>
    <t>Ft Sam Houston</t>
  </si>
  <si>
    <t>Grafenwoehr</t>
  </si>
  <si>
    <t>Weisbaden</t>
  </si>
  <si>
    <t>Camp Coiner (Yongsan)</t>
  </si>
  <si>
    <t>Camp Casey</t>
  </si>
  <si>
    <t>Ft Meade</t>
  </si>
  <si>
    <t>Ft Richardson</t>
  </si>
  <si>
    <t>Ft Shafter</t>
  </si>
  <si>
    <t>Ft McNair</t>
  </si>
  <si>
    <t>Not Available:</t>
  </si>
  <si>
    <t xml:space="preserve">Fort Campbell </t>
  </si>
  <si>
    <t xml:space="preserve">Fort Carson </t>
  </si>
  <si>
    <t xml:space="preserve">Fort Lee </t>
  </si>
  <si>
    <t xml:space="preserve">Fort Benning </t>
  </si>
  <si>
    <t xml:space="preserve">Fort Sill </t>
  </si>
  <si>
    <t xml:space="preserve">Fort Irwin </t>
  </si>
  <si>
    <t xml:space="preserve">Fort Riley </t>
  </si>
  <si>
    <t xml:space="preserve">Fort Leonard Wood </t>
  </si>
  <si>
    <t xml:space="preserve">Fort Huachuca </t>
  </si>
  <si>
    <t xml:space="preserve">Fort Belvoir </t>
  </si>
  <si>
    <t>Population</t>
  </si>
  <si>
    <t>Media</t>
  </si>
  <si>
    <t>Impressions</t>
  </si>
  <si>
    <t>Rate</t>
  </si>
  <si>
    <t>Submission</t>
  </si>
  <si>
    <t>EXTV
Television Network</t>
  </si>
  <si>
    <t>Weekly</t>
  </si>
  <si>
    <t>5,210,219/Month</t>
  </si>
  <si>
    <t>30-Days</t>
  </si>
  <si>
    <t>10M/Month</t>
  </si>
  <si>
    <t>14-Days</t>
  </si>
  <si>
    <t>Monthly</t>
  </si>
  <si>
    <t>Variable</t>
  </si>
  <si>
    <t>$1,958/Month</t>
  </si>
  <si>
    <t>60-Days</t>
  </si>
  <si>
    <t>15 Sec Spot - $4,235/Month 30 Sec Spot - $6,352/Month 60 Sec Spot - $8,470/Month</t>
  </si>
  <si>
    <r>
      <t xml:space="preserve">15 Sec Spot - $4,268/Week 30 Sec Spot - $6,028/Week 60 Sec Spot - $9,042/Week
</t>
    </r>
    <r>
      <rPr>
        <i/>
        <sz val="10"/>
        <color indexed="8"/>
        <rFont val="Arial"/>
        <family val="2"/>
      </rPr>
      <t>*Base Production Fee - $5,294</t>
    </r>
  </si>
  <si>
    <r>
      <t xml:space="preserve">30 Sec Spot- $25/Base/Week 60 Sec Spot- $50/Base/Week
</t>
    </r>
    <r>
      <rPr>
        <i/>
        <sz val="10"/>
        <color indexed="8"/>
        <rFont val="Arial"/>
        <family val="2"/>
      </rPr>
      <t>*Base Production Fee - $500</t>
    </r>
  </si>
  <si>
    <t>Soldier For Life Distribution List</t>
  </si>
  <si>
    <t>Digital Sign Creative</t>
  </si>
  <si>
    <t>Wallscapes</t>
  </si>
  <si>
    <t>Theatre slide (static)</t>
  </si>
  <si>
    <t>E-mail messages</t>
  </si>
  <si>
    <t>Copy writing, art direction &amp; HTML programming</t>
  </si>
  <si>
    <t>includes resizing of artwork for non-enterprise websites</t>
  </si>
  <si>
    <t>Bowl Arena Advertising</t>
  </si>
  <si>
    <t>Asset:</t>
  </si>
  <si>
    <t>Cost:</t>
  </si>
  <si>
    <t>Products &amp; Services Rendered:</t>
  </si>
  <si>
    <t>Digital Signage Network</t>
  </si>
  <si>
    <t>Army MWR Enterprise Web</t>
  </si>
  <si>
    <t>Website creative</t>
  </si>
  <si>
    <t>10 million impressions served throughout the enterprise web</t>
  </si>
  <si>
    <t>Operation Rising Star</t>
  </si>
  <si>
    <t>USAG Humphreys (Suwon Air Base)</t>
  </si>
  <si>
    <t>USAG Hawaii Direct (Fort Shafter, Schofield &amp; Wheeler AFB)</t>
  </si>
  <si>
    <t>8' x 20' printing, shiping &amp; installation</t>
  </si>
  <si>
    <t>No Permanent Population (750K per year)</t>
  </si>
  <si>
    <t>No Permanent Population (150K per year)</t>
  </si>
  <si>
    <t xml:space="preserve">No Permanent Population (98% occupancy) </t>
  </si>
  <si>
    <t xml:space="preserve">No Permanent Population (98% occupance) </t>
  </si>
  <si>
    <t>($10 CPM)</t>
  </si>
  <si>
    <t>Estimates Based on 40 bases; 30-second spot</t>
  </si>
  <si>
    <t>1 Month Rate (15 second)    *Includes production</t>
  </si>
  <si>
    <t>Concept, copy writing and art direction</t>
  </si>
  <si>
    <t>Avg Gate Traffic / Day</t>
  </si>
  <si>
    <t xml:space="preserve"> </t>
  </si>
  <si>
    <t>3 Month Rate    (15 second) *Includes production</t>
  </si>
  <si>
    <t>6 Month Rate      (15 second) *Includes production</t>
  </si>
  <si>
    <t>9 Month Rate  (15 second) *Includes production</t>
  </si>
  <si>
    <t>12 Month Rate    (15 second) *Includes production</t>
  </si>
  <si>
    <t>Theater Ad:                                                                                                           107,000 impressions per month                                                                                       60 Second Spot</t>
  </si>
  <si>
    <t>Theater Slide:                                                                        107,000 impressions / month                                                                 15 second</t>
  </si>
  <si>
    <t>EXRN 30-second spot
Radio Network</t>
  </si>
  <si>
    <t>30-second spot in all 40 AAFES exchanges identified in RFP</t>
  </si>
  <si>
    <t>Radio Spot</t>
  </si>
  <si>
    <t>Radio Script &amp; production</t>
  </si>
  <si>
    <t>Copy writing &amp; production</t>
  </si>
  <si>
    <t>Static theatre slide to play for 15 seconds at all AAFES theatre locations worldwide, total impressions 1,284,000</t>
  </si>
  <si>
    <t>500,000 Soldiers ETSing  with honorable discharge</t>
  </si>
  <si>
    <t>-</t>
  </si>
  <si>
    <t>8' x 10' wall scapes</t>
  </si>
  <si>
    <t>555 Signs, Main Tile: located in Commissaries, Exchanges, Pharmacies, Dining Facilaties, Fitness Cetners, Recreation Centers, Warriror Zones, Outdoor Recreation Centers, Libraries, Auto Centers, Leisure Travel</t>
  </si>
  <si>
    <t>Sponsorship includes branding, garrison activations, signage, location of PowerTowers at venue for duration of the competition (Value: $150,000.00)</t>
  </si>
  <si>
    <t xml:space="preserve">Power Towers </t>
  </si>
  <si>
    <t>Installation Category</t>
  </si>
  <si>
    <t>C</t>
  </si>
  <si>
    <t>B</t>
  </si>
  <si>
    <t>USAG Rhineland-Pfalz (Kaiserslautern)</t>
  </si>
  <si>
    <t>A</t>
  </si>
  <si>
    <t xml:space="preserve">3 month                                                                        </t>
  </si>
  <si>
    <t>12 months                    35% discount</t>
  </si>
  <si>
    <t>6 months           20% discout</t>
  </si>
  <si>
    <t>Includes printing, shipping, installation and POP photos of 8' x 10' banners at 37 garrisons Army wide in facilities to include Transition Cetners, Fitness Centers, Warrior Zones, Recreation Centers, Outdoor Recreation Centers, Libraries, Auto Centers, Leisure Travel Centers</t>
  </si>
  <si>
    <r>
      <rPr>
        <b/>
        <sz val="14"/>
        <color theme="2" tint="-0.749992370372631"/>
        <rFont val="Arial"/>
        <family val="2"/>
      </rPr>
      <t xml:space="preserve">"A Path with Purpose"     </t>
    </r>
    <r>
      <rPr>
        <b/>
        <sz val="12"/>
        <color theme="2" tint="-0.749992370372631"/>
        <rFont val="Arial"/>
        <family val="2"/>
      </rPr>
      <t xml:space="preserve">                                                                                                                                                *12 month media plan</t>
    </r>
  </si>
  <si>
    <t>Total</t>
  </si>
  <si>
    <t>* margin of error</t>
  </si>
  <si>
    <r>
      <rPr>
        <b/>
        <sz val="14"/>
        <color theme="2" tint="-0.749992370372631"/>
        <rFont val="Arial"/>
        <family val="2"/>
      </rPr>
      <t xml:space="preserve">"Serve with the best. Be the best."     </t>
    </r>
    <r>
      <rPr>
        <b/>
        <sz val="12"/>
        <color theme="2" tint="-0.749992370372631"/>
        <rFont val="Arial"/>
        <family val="2"/>
      </rPr>
      <t xml:space="preserve">                                                                                                                                                *6 month media plan</t>
    </r>
  </si>
  <si>
    <t>6 month rate                       (10% discount)</t>
  </si>
  <si>
    <t>5 million impressions served throughout the enterprise web</t>
  </si>
  <si>
    <t>250,000 Soldiers ETSing  with honorable discharge</t>
  </si>
  <si>
    <t xml:space="preserve">1,038 Screens on 44 garrisons </t>
  </si>
  <si>
    <t>1,038 Screens on 44 garrison</t>
  </si>
  <si>
    <t>Per garrison cost:</t>
  </si>
  <si>
    <t xml:space="preserve">Per garrison cost: </t>
  </si>
  <si>
    <t>ARMY INSTALLATION OVERVIEW</t>
  </si>
  <si>
    <t>BOWL ARENA SCREENS</t>
  </si>
  <si>
    <t>DIGITAL SIGNAGE NETWORK</t>
  </si>
  <si>
    <t>ENTERPRISE WEBSITE</t>
  </si>
  <si>
    <t>WALLSCAPES</t>
  </si>
  <si>
    <t>AAFES EXCHANGE ADVERTISING</t>
  </si>
  <si>
    <t>Average In Market Impressions</t>
  </si>
  <si>
    <t>Average Vehicles through gates / day</t>
  </si>
  <si>
    <t>Raleigh-Durham (Fayetville)</t>
  </si>
  <si>
    <t>USAG Humphreys (Coming online in 2016)</t>
  </si>
  <si>
    <t>Page views</t>
  </si>
  <si>
    <t>Leader board                              (728 X 90)</t>
  </si>
  <si>
    <t xml:space="preserve">Army Installation                                                     </t>
  </si>
  <si>
    <t>State</t>
  </si>
  <si>
    <t xml:space="preserve">Base </t>
  </si>
  <si>
    <t xml:space="preserve">Zip Code </t>
  </si>
  <si>
    <t xml:space="preserve">Nearest Metro City* </t>
  </si>
  <si>
    <t>Classic
3 month rental</t>
  </si>
  <si>
    <t>Classic
6 month rental</t>
  </si>
  <si>
    <t>Custom Wrapped Exterior</t>
  </si>
  <si>
    <t>Transit</t>
  </si>
  <si>
    <t>Smart
3 month rental</t>
  </si>
  <si>
    <t>Smarth
6 month rental</t>
  </si>
  <si>
    <t>AK</t>
  </si>
  <si>
    <t xml:space="preserve">Fort Richardson </t>
  </si>
  <si>
    <t>6 Days</t>
  </si>
  <si>
    <t xml:space="preserve">Fort Jonathan Wainwright </t>
  </si>
  <si>
    <t xml:space="preserve">Fairbanks </t>
  </si>
  <si>
    <t>AL</t>
  </si>
  <si>
    <t xml:space="preserve">Fort Rucker </t>
  </si>
  <si>
    <t xml:space="preserve">Dothan </t>
  </si>
  <si>
    <t>3 Days</t>
  </si>
  <si>
    <t>AZ</t>
  </si>
  <si>
    <t xml:space="preserve">Tucson </t>
  </si>
  <si>
    <t>CA</t>
  </si>
  <si>
    <t xml:space="preserve">San Bernardino </t>
  </si>
  <si>
    <t>7 Days</t>
  </si>
  <si>
    <t>CO</t>
  </si>
  <si>
    <t xml:space="preserve">Colorado Springs </t>
  </si>
  <si>
    <t>4 Days</t>
  </si>
  <si>
    <t>DC</t>
  </si>
  <si>
    <t xml:space="preserve">Fort Lesley J McNair </t>
  </si>
  <si>
    <t>Washington, Dc (Hagrstwn)</t>
  </si>
  <si>
    <t xml:space="preserve">Washington D.C. </t>
  </si>
  <si>
    <t>GA</t>
  </si>
  <si>
    <t xml:space="preserve">Fort Stewart </t>
  </si>
  <si>
    <t>Columbus, Ga (Opelika, Al)</t>
  </si>
  <si>
    <t xml:space="preserve">Columbus </t>
  </si>
  <si>
    <t xml:space="preserve">Fort Gordon </t>
  </si>
  <si>
    <t xml:space="preserve">Augusta </t>
  </si>
  <si>
    <t>HI</t>
  </si>
  <si>
    <t xml:space="preserve">Schofield Barracks </t>
  </si>
  <si>
    <t xml:space="preserve">Honolulu </t>
  </si>
  <si>
    <t>8 Days</t>
  </si>
  <si>
    <t xml:space="preserve">Fort Shafter </t>
  </si>
  <si>
    <t>KS</t>
  </si>
  <si>
    <t xml:space="preserve">Topeka </t>
  </si>
  <si>
    <t>KY</t>
  </si>
  <si>
    <t xml:space="preserve">Nashville </t>
  </si>
  <si>
    <t xml:space="preserve">Fort Knox </t>
  </si>
  <si>
    <t xml:space="preserve">Louisville </t>
  </si>
  <si>
    <t>LA</t>
  </si>
  <si>
    <t>Alexandria, La</t>
  </si>
  <si>
    <t xml:space="preserve">Alexandria </t>
  </si>
  <si>
    <t>MD</t>
  </si>
  <si>
    <t xml:space="preserve">Fort George G. Meade </t>
  </si>
  <si>
    <t xml:space="preserve">Baltimore </t>
  </si>
  <si>
    <t>MO</t>
  </si>
  <si>
    <t xml:space="preserve">Springfield </t>
  </si>
  <si>
    <t>NC</t>
  </si>
  <si>
    <t>Raleigh-Durham (Fayetvlle)</t>
  </si>
  <si>
    <t xml:space="preserve">Fayetteville </t>
  </si>
  <si>
    <t>NY</t>
  </si>
  <si>
    <t xml:space="preserve">Fort Drum </t>
  </si>
  <si>
    <t>OK</t>
  </si>
  <si>
    <t xml:space="preserve">Oklahoma City </t>
  </si>
  <si>
    <t>SC</t>
  </si>
  <si>
    <t xml:space="preserve">Fort Jackson </t>
  </si>
  <si>
    <t>Columbia, Sc</t>
  </si>
  <si>
    <t xml:space="preserve">Columbia </t>
  </si>
  <si>
    <t>TX</t>
  </si>
  <si>
    <t xml:space="preserve">Fort Hood </t>
  </si>
  <si>
    <t xml:space="preserve">Killeen </t>
  </si>
  <si>
    <t xml:space="preserve">Fort Bliss </t>
  </si>
  <si>
    <t xml:space="preserve">El Paso </t>
  </si>
  <si>
    <t>5 Days</t>
  </si>
  <si>
    <t xml:space="preserve">Fort Sam Houston </t>
  </si>
  <si>
    <t>San Antonio</t>
  </si>
  <si>
    <t xml:space="preserve">San Antonio </t>
  </si>
  <si>
    <t>VA</t>
  </si>
  <si>
    <t xml:space="preserve">Petersburg </t>
  </si>
  <si>
    <t xml:space="preserve">Fort Eustis </t>
  </si>
  <si>
    <t xml:space="preserve">Newport News </t>
  </si>
  <si>
    <t xml:space="preserve">Fort Myer </t>
  </si>
  <si>
    <t>WA</t>
  </si>
  <si>
    <t xml:space="preserve">Tacoma </t>
  </si>
  <si>
    <r>
      <t xml:space="preserve">Classic </t>
    </r>
    <r>
      <rPr>
        <b/>
        <u/>
        <sz val="10"/>
        <color theme="0"/>
        <rFont val="Arial"/>
        <family val="2"/>
      </rPr>
      <t xml:space="preserve">
Shipping
(each way)</t>
    </r>
  </si>
  <si>
    <r>
      <t xml:space="preserve">Smart </t>
    </r>
    <r>
      <rPr>
        <b/>
        <u/>
        <sz val="10"/>
        <color theme="0"/>
        <rFont val="Arial"/>
        <family val="2"/>
      </rPr>
      <t xml:space="preserve">
Shipping
(each way)</t>
    </r>
  </si>
  <si>
    <t>Smart Power Tower with custom wrap located at at thirty (30) garrisons for three (3) months, includes shipping both ways</t>
  </si>
  <si>
    <t>Classic Power Tower with custom wrap located at at thirty (30) garrisons for three (3) months, includes shipping both ways</t>
  </si>
  <si>
    <t>POWER TOWER</t>
  </si>
  <si>
    <t>8' x 20' wall scapes</t>
  </si>
  <si>
    <t>Includes printing, shipping, installation and POP photos of 8' x 20' banners at 37 garrisons Army wide in facilities to include Transition Cetners, Fitness Centers, Warrior Zones, Recreation Centers, Outdoor Recreation Centers, Libraries, Auto Centers, Leisure Travel Centers</t>
  </si>
  <si>
    <t>Power Tower Creative &amp; Logistics</t>
  </si>
  <si>
    <t>Art direction, logistics, shipping, mailing, coordination of wifi, screen prompts and all other coornidation necessary.</t>
  </si>
  <si>
    <t>Per garrison/month cost:</t>
  </si>
  <si>
    <t>Per garrison / month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</si>
</sst>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8" formatCode="&quot;$&quot;#,##0.00_);[Red]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h:mm;@"/>
    <numFmt numFmtId="166" formatCode="00000"/>
    <numFmt numFmtId="167" formatCode="&quot;$&quot;#,##0.00"/>
  </numFmts>
  <fonts count="43" x14ac:knownFonts="1">
    <font>
      <sz val="10"/>
      <name val="Tahoma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ahoma"/>
      <family val="2"/>
    </font>
    <font>
      <sz val="10"/>
      <name val="Tahoma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u/>
      <sz val="11"/>
      <color theme="10"/>
      <name val="Calibri"/>
      <family val="2"/>
    </font>
    <font>
      <u/>
      <sz val="10"/>
      <color theme="10"/>
      <name val="Arial"/>
      <family val="2"/>
    </font>
    <font>
      <b/>
      <sz val="9"/>
      <color indexed="81"/>
      <name val="Tahoma"/>
      <family val="2"/>
    </font>
    <font>
      <sz val="10"/>
      <color indexed="8"/>
      <name val="Arial"/>
      <family val="2"/>
    </font>
    <font>
      <i/>
      <sz val="10"/>
      <color indexed="8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2"/>
      <name val="Arial"/>
      <family val="2"/>
    </font>
    <font>
      <b/>
      <sz val="12"/>
      <color theme="0"/>
      <name val="Arial"/>
      <family val="2"/>
    </font>
    <font>
      <b/>
      <sz val="12"/>
      <color theme="2" tint="-0.749992370372631"/>
      <name val="Arial"/>
      <family val="2"/>
    </font>
    <font>
      <b/>
      <sz val="14"/>
      <color theme="2" tint="-0.749992370372631"/>
      <name val="Arial"/>
      <family val="2"/>
    </font>
    <font>
      <b/>
      <sz val="14"/>
      <color theme="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0"/>
      <color theme="0"/>
      <name val="Arial"/>
      <family val="2"/>
    </font>
  </fonts>
  <fills count="4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4270"/>
      </left>
      <right style="thin">
        <color rgb="FF004270"/>
      </right>
      <top style="thin">
        <color rgb="FF770D29"/>
      </top>
      <bottom style="thin">
        <color rgb="FF004270"/>
      </bottom>
      <diagonal/>
    </border>
    <border>
      <left style="thin">
        <color rgb="FF000000"/>
      </left>
      <right style="thin">
        <color rgb="FF000000"/>
      </right>
      <top style="thin">
        <color rgb="FF004270"/>
      </top>
      <bottom style="thin">
        <color rgb="FF000000"/>
      </bottom>
      <diagonal/>
    </border>
    <border>
      <left style="thin">
        <color rgb="FF004270"/>
      </left>
      <right/>
      <top style="thin">
        <color rgb="FF770D29"/>
      </top>
      <bottom style="thin">
        <color rgb="FF004270"/>
      </bottom>
      <diagonal/>
    </border>
    <border>
      <left style="thin">
        <color rgb="FF000000"/>
      </left>
      <right/>
      <top style="thin">
        <color rgb="FF00427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4270"/>
      </right>
      <top style="thin">
        <color rgb="FF770D29"/>
      </top>
      <bottom style="thin">
        <color rgb="FF00427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4270"/>
      </top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0">
    <xf numFmtId="0" fontId="0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7" fillId="0" borderId="0"/>
    <xf numFmtId="0" fontId="8" fillId="0" borderId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9" fillId="0" borderId="0"/>
    <xf numFmtId="0" fontId="6" fillId="0" borderId="0"/>
    <xf numFmtId="0" fontId="3" fillId="0" borderId="0"/>
    <xf numFmtId="0" fontId="3" fillId="0" borderId="0"/>
    <xf numFmtId="9" fontId="6" fillId="0" borderId="0" applyFont="0" applyFill="0" applyBorder="0" applyAlignment="0" applyProtection="0"/>
    <xf numFmtId="0" fontId="7" fillId="0" borderId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8" fillId="0" borderId="0"/>
    <xf numFmtId="0" fontId="8" fillId="0" borderId="0"/>
    <xf numFmtId="44" fontId="9" fillId="0" borderId="0" applyFont="0" applyFill="0" applyBorder="0" applyAlignment="0" applyProtection="0"/>
    <xf numFmtId="0" fontId="4" fillId="0" borderId="0"/>
    <xf numFmtId="43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6" fillId="0" borderId="0"/>
    <xf numFmtId="9" fontId="9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3" fillId="0" borderId="0"/>
    <xf numFmtId="0" fontId="6" fillId="0" borderId="0"/>
    <xf numFmtId="0" fontId="5" fillId="0" borderId="0"/>
    <xf numFmtId="0" fontId="9" fillId="0" borderId="0"/>
    <xf numFmtId="0" fontId="6" fillId="0" borderId="0"/>
    <xf numFmtId="0" fontId="6" fillId="0" borderId="0"/>
    <xf numFmtId="0" fontId="4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7" fillId="0" borderId="0"/>
    <xf numFmtId="0" fontId="2" fillId="0" borderId="0"/>
    <xf numFmtId="0" fontId="2" fillId="0" borderId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" fillId="0" borderId="0"/>
    <xf numFmtId="0" fontId="4" fillId="0" borderId="0"/>
    <xf numFmtId="0" fontId="7" fillId="0" borderId="0"/>
    <xf numFmtId="0" fontId="14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/>
    <xf numFmtId="0" fontId="27" fillId="0" borderId="35" applyNumberFormat="0" applyFill="0" applyAlignment="0" applyProtection="0"/>
    <xf numFmtId="0" fontId="28" fillId="0" borderId="36" applyNumberFormat="0" applyFill="0" applyAlignment="0" applyProtection="0"/>
    <xf numFmtId="0" fontId="29" fillId="0" borderId="37" applyNumberFormat="0" applyFill="0" applyAlignment="0" applyProtection="0"/>
    <xf numFmtId="0" fontId="29" fillId="0" borderId="0" applyNumberFormat="0" applyFill="0" applyBorder="0" applyAlignment="0" applyProtection="0"/>
    <xf numFmtId="0" fontId="30" fillId="8" borderId="0" applyNumberFormat="0" applyBorder="0" applyAlignment="0" applyProtection="0"/>
    <xf numFmtId="0" fontId="31" fillId="9" borderId="0" applyNumberFormat="0" applyBorder="0" applyAlignment="0" applyProtection="0"/>
    <xf numFmtId="0" fontId="32" fillId="10" borderId="0" applyNumberFormat="0" applyBorder="0" applyAlignment="0" applyProtection="0"/>
    <xf numFmtId="0" fontId="33" fillId="11" borderId="38" applyNumberFormat="0" applyAlignment="0" applyProtection="0"/>
    <xf numFmtId="0" fontId="34" fillId="12" borderId="39" applyNumberFormat="0" applyAlignment="0" applyProtection="0"/>
    <xf numFmtId="0" fontId="35" fillId="12" borderId="38" applyNumberFormat="0" applyAlignment="0" applyProtection="0"/>
    <xf numFmtId="0" fontId="36" fillId="0" borderId="40" applyNumberFormat="0" applyFill="0" applyAlignment="0" applyProtection="0"/>
    <xf numFmtId="0" fontId="37" fillId="13" borderId="41" applyNumberFormat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43" applyNumberFormat="0" applyFill="0" applyAlignment="0" applyProtection="0"/>
    <xf numFmtId="0" fontId="4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41" fillId="18" borderId="0" applyNumberFormat="0" applyBorder="0" applyAlignment="0" applyProtection="0"/>
    <xf numFmtId="0" fontId="4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41" fillId="22" borderId="0" applyNumberFormat="0" applyBorder="0" applyAlignment="0" applyProtection="0"/>
    <xf numFmtId="0" fontId="4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41" fillId="26" borderId="0" applyNumberFormat="0" applyBorder="0" applyAlignment="0" applyProtection="0"/>
    <xf numFmtId="0" fontId="4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41" fillId="30" borderId="0" applyNumberFormat="0" applyBorder="0" applyAlignment="0" applyProtection="0"/>
    <xf numFmtId="0" fontId="4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41" fillId="34" borderId="0" applyNumberFormat="0" applyBorder="0" applyAlignment="0" applyProtection="0"/>
    <xf numFmtId="0" fontId="4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41" fillId="38" borderId="0" applyNumberFormat="0" applyBorder="0" applyAlignment="0" applyProtection="0"/>
    <xf numFmtId="0" fontId="1" fillId="0" borderId="0"/>
    <xf numFmtId="0" fontId="1" fillId="14" borderId="42" applyNumberFormat="0" applyFont="0" applyAlignment="0" applyProtection="0"/>
  </cellStyleXfs>
  <cellXfs count="347">
    <xf numFmtId="0" fontId="0" fillId="0" borderId="0" xfId="0"/>
    <xf numFmtId="0" fontId="12" fillId="0" borderId="0" xfId="0" applyFont="1" applyFill="1" applyBorder="1"/>
    <xf numFmtId="0" fontId="12" fillId="0" borderId="0" xfId="0" applyFont="1" applyBorder="1"/>
    <xf numFmtId="0" fontId="7" fillId="0" borderId="0" xfId="0" applyFont="1" applyFill="1" applyBorder="1"/>
    <xf numFmtId="0" fontId="10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/>
    </xf>
    <xf numFmtId="0" fontId="7" fillId="0" borderId="0" xfId="0" applyFont="1" applyBorder="1" applyAlignment="1">
      <alignment horizontal="left"/>
    </xf>
    <xf numFmtId="41" fontId="7" fillId="0" borderId="0" xfId="1" applyNumberFormat="1" applyFont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12" fillId="0" borderId="0" xfId="0" applyFont="1" applyBorder="1" applyAlignment="1">
      <alignment horizontal="left"/>
    </xf>
    <xf numFmtId="0" fontId="7" fillId="0" borderId="0" xfId="0" applyFont="1" applyFill="1" applyBorder="1" applyAlignment="1">
      <alignment horizontal="left"/>
    </xf>
    <xf numFmtId="0" fontId="7" fillId="2" borderId="0" xfId="0" applyFont="1" applyFill="1" applyBorder="1" applyAlignment="1">
      <alignment horizontal="center"/>
    </xf>
    <xf numFmtId="0" fontId="17" fillId="0" borderId="6" xfId="0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7" fillId="0" borderId="0" xfId="0" applyFont="1"/>
    <xf numFmtId="8" fontId="7" fillId="0" borderId="0" xfId="0" applyNumberFormat="1" applyFont="1"/>
    <xf numFmtId="0" fontId="7" fillId="0" borderId="0" xfId="0" applyFont="1" applyBorder="1" applyAlignment="1">
      <alignment horizontal="center"/>
    </xf>
    <xf numFmtId="0" fontId="7" fillId="0" borderId="0" xfId="0" applyFont="1" applyBorder="1"/>
    <xf numFmtId="3" fontId="7" fillId="0" borderId="0" xfId="0" applyNumberFormat="1" applyFont="1" applyBorder="1"/>
    <xf numFmtId="44" fontId="7" fillId="0" borderId="0" xfId="2" applyFont="1" applyFill="1" applyBorder="1" applyAlignment="1">
      <alignment horizontal="center"/>
    </xf>
    <xf numFmtId="0" fontId="19" fillId="4" borderId="1" xfId="0" applyFont="1" applyFill="1" applyBorder="1" applyAlignment="1">
      <alignment horizontal="center" vertical="center" wrapText="1"/>
    </xf>
    <xf numFmtId="164" fontId="7" fillId="0" borderId="0" xfId="0" applyNumberFormat="1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 vertical="center" wrapText="1"/>
    </xf>
    <xf numFmtId="3" fontId="7" fillId="0" borderId="0" xfId="1" applyNumberFormat="1" applyFont="1" applyFill="1" applyBorder="1" applyAlignment="1"/>
    <xf numFmtId="3" fontId="7" fillId="0" borderId="0" xfId="2" applyNumberFormat="1" applyFont="1" applyFill="1" applyBorder="1" applyAlignment="1"/>
    <xf numFmtId="3" fontId="7" fillId="0" borderId="0" xfId="0" applyNumberFormat="1" applyFont="1" applyFill="1" applyBorder="1" applyAlignment="1">
      <alignment horizontal="center"/>
    </xf>
    <xf numFmtId="3" fontId="12" fillId="0" borderId="0" xfId="0" applyNumberFormat="1" applyFont="1" applyFill="1" applyBorder="1" applyAlignment="1"/>
    <xf numFmtId="41" fontId="7" fillId="0" borderId="0" xfId="1" applyNumberFormat="1" applyFont="1" applyFill="1" applyBorder="1" applyAlignment="1">
      <alignment horizontal="center"/>
    </xf>
    <xf numFmtId="41" fontId="7" fillId="0" borderId="0" xfId="2" applyNumberFormat="1" applyFont="1" applyFill="1" applyBorder="1" applyAlignment="1">
      <alignment horizontal="center"/>
    </xf>
    <xf numFmtId="0" fontId="12" fillId="0" borderId="0" xfId="0" applyFont="1" applyFill="1" applyBorder="1" applyAlignment="1">
      <alignment horizontal="left"/>
    </xf>
    <xf numFmtId="3" fontId="7" fillId="0" borderId="0" xfId="0" applyNumberFormat="1" applyFont="1" applyFill="1" applyBorder="1" applyAlignment="1"/>
    <xf numFmtId="3" fontId="15" fillId="0" borderId="0" xfId="57" applyNumberFormat="1" applyFont="1" applyFill="1" applyBorder="1" applyAlignment="1" applyProtection="1"/>
    <xf numFmtId="0" fontId="10" fillId="0" borderId="0" xfId="0" applyFont="1" applyFill="1" applyBorder="1" applyAlignment="1">
      <alignment horizontal="center"/>
    </xf>
    <xf numFmtId="44" fontId="7" fillId="0" borderId="0" xfId="0" applyNumberFormat="1" applyFont="1" applyFill="1" applyBorder="1" applyAlignment="1">
      <alignment horizontal="center"/>
    </xf>
    <xf numFmtId="3" fontId="7" fillId="0" borderId="0" xfId="1" applyNumberFormat="1" applyFont="1" applyBorder="1" applyAlignment="1">
      <alignment horizontal="center"/>
    </xf>
    <xf numFmtId="10" fontId="7" fillId="0" borderId="0" xfId="1" applyNumberFormat="1" applyFont="1" applyBorder="1" applyAlignment="1">
      <alignment horizontal="center"/>
    </xf>
    <xf numFmtId="0" fontId="7" fillId="3" borderId="0" xfId="0" applyFont="1" applyFill="1" applyBorder="1" applyAlignment="1">
      <alignment horizontal="center"/>
    </xf>
    <xf numFmtId="0" fontId="7" fillId="4" borderId="0" xfId="0" applyFont="1" applyFill="1" applyBorder="1"/>
    <xf numFmtId="0" fontId="7" fillId="0" borderId="0" xfId="0" applyFont="1" applyFill="1"/>
    <xf numFmtId="0" fontId="17" fillId="0" borderId="8" xfId="0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top" wrapText="1"/>
    </xf>
    <xf numFmtId="44" fontId="7" fillId="0" borderId="1" xfId="2" applyFont="1" applyBorder="1" applyAlignment="1">
      <alignment horizontal="center"/>
    </xf>
    <xf numFmtId="44" fontId="7" fillId="0" borderId="1" xfId="0" applyNumberFormat="1" applyFont="1" applyBorder="1" applyAlignment="1">
      <alignment horizontal="center"/>
    </xf>
    <xf numFmtId="0" fontId="19" fillId="4" borderId="5" xfId="0" applyFont="1" applyFill="1" applyBorder="1" applyAlignment="1">
      <alignment horizontal="center" vertical="center" wrapText="1"/>
    </xf>
    <xf numFmtId="0" fontId="19" fillId="4" borderId="7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19" fillId="4" borderId="14" xfId="0" applyFont="1" applyFill="1" applyBorder="1" applyAlignment="1">
      <alignment horizontal="center" vertical="center" wrapText="1"/>
    </xf>
    <xf numFmtId="0" fontId="19" fillId="4" borderId="15" xfId="0" applyFont="1" applyFill="1" applyBorder="1" applyAlignment="1">
      <alignment horizontal="center" vertical="center" wrapText="1"/>
    </xf>
    <xf numFmtId="0" fontId="17" fillId="0" borderId="16" xfId="0" applyFont="1" applyBorder="1" applyAlignment="1">
      <alignment horizontal="left" vertical="top" wrapText="1"/>
    </xf>
    <xf numFmtId="44" fontId="7" fillId="0" borderId="15" xfId="0" applyNumberFormat="1" applyFont="1" applyBorder="1" applyAlignment="1">
      <alignment horizontal="center"/>
    </xf>
    <xf numFmtId="0" fontId="17" fillId="0" borderId="18" xfId="0" applyFont="1" applyBorder="1" applyAlignment="1">
      <alignment horizontal="left" vertical="top" wrapText="1"/>
    </xf>
    <xf numFmtId="44" fontId="7" fillId="0" borderId="15" xfId="2" applyFont="1" applyBorder="1" applyAlignment="1">
      <alignment horizontal="center"/>
    </xf>
    <xf numFmtId="0" fontId="7" fillId="5" borderId="0" xfId="0" applyFont="1" applyFill="1" applyBorder="1"/>
    <xf numFmtId="44" fontId="7" fillId="5" borderId="0" xfId="2" applyFont="1" applyFill="1" applyBorder="1" applyAlignment="1">
      <alignment horizontal="center"/>
    </xf>
    <xf numFmtId="3" fontId="7" fillId="5" borderId="0" xfId="0" applyNumberFormat="1" applyFont="1" applyFill="1" applyBorder="1"/>
    <xf numFmtId="0" fontId="7" fillId="5" borderId="0" xfId="0" applyFont="1" applyFill="1" applyBorder="1" applyAlignment="1">
      <alignment wrapText="1"/>
    </xf>
    <xf numFmtId="0" fontId="22" fillId="4" borderId="0" xfId="0" applyFont="1" applyFill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7" fillId="6" borderId="0" xfId="0" applyFont="1" applyFill="1"/>
    <xf numFmtId="44" fontId="7" fillId="7" borderId="1" xfId="2" applyFont="1" applyFill="1" applyBorder="1" applyAlignment="1">
      <alignment horizontal="center"/>
    </xf>
    <xf numFmtId="0" fontId="7" fillId="7" borderId="0" xfId="0" applyFont="1" applyFill="1" applyBorder="1"/>
    <xf numFmtId="0" fontId="7" fillId="7" borderId="0" xfId="0" applyFont="1" applyFill="1" applyBorder="1" applyAlignment="1">
      <alignment wrapText="1"/>
    </xf>
    <xf numFmtId="44" fontId="7" fillId="7" borderId="0" xfId="2" applyFont="1" applyFill="1" applyBorder="1" applyAlignment="1">
      <alignment horizontal="center"/>
    </xf>
    <xf numFmtId="0" fontId="10" fillId="6" borderId="0" xfId="0" applyFont="1" applyFill="1" applyAlignment="1">
      <alignment horizontal="right"/>
    </xf>
    <xf numFmtId="44" fontId="10" fillId="6" borderId="0" xfId="0" applyNumberFormat="1" applyFont="1" applyFill="1"/>
    <xf numFmtId="0" fontId="19" fillId="4" borderId="0" xfId="0" applyFont="1" applyFill="1" applyBorder="1" applyAlignment="1">
      <alignment horizontal="center" vertical="center" wrapText="1"/>
    </xf>
    <xf numFmtId="41" fontId="19" fillId="4" borderId="0" xfId="1" applyNumberFormat="1" applyFont="1" applyFill="1" applyBorder="1" applyAlignment="1">
      <alignment horizontal="center" vertical="center" wrapText="1"/>
    </xf>
    <xf numFmtId="3" fontId="7" fillId="5" borderId="0" xfId="0" applyNumberFormat="1" applyFont="1" applyFill="1" applyBorder="1" applyAlignment="1">
      <alignment horizontal="left"/>
    </xf>
    <xf numFmtId="1" fontId="7" fillId="5" borderId="0" xfId="0" applyNumberFormat="1" applyFont="1" applyFill="1" applyBorder="1" applyAlignment="1" applyProtection="1">
      <alignment horizontal="left"/>
    </xf>
    <xf numFmtId="166" fontId="7" fillId="5" borderId="0" xfId="0" applyNumberFormat="1" applyFont="1" applyFill="1" applyBorder="1" applyAlignment="1" applyProtection="1">
      <alignment horizontal="left"/>
    </xf>
    <xf numFmtId="3" fontId="12" fillId="5" borderId="0" xfId="0" applyNumberFormat="1" applyFont="1" applyFill="1" applyBorder="1" applyAlignment="1">
      <alignment horizontal="right" wrapText="1"/>
    </xf>
    <xf numFmtId="3" fontId="7" fillId="5" borderId="0" xfId="0" applyNumberFormat="1" applyFont="1" applyFill="1" applyBorder="1" applyAlignment="1">
      <alignment horizontal="center"/>
    </xf>
    <xf numFmtId="3" fontId="12" fillId="5" borderId="0" xfId="0" applyNumberFormat="1" applyFont="1" applyFill="1" applyBorder="1" applyAlignment="1">
      <alignment horizontal="center"/>
    </xf>
    <xf numFmtId="1" fontId="7" fillId="0" borderId="0" xfId="0" applyNumberFormat="1" applyFont="1" applyBorder="1" applyAlignment="1">
      <alignment horizontal="left"/>
    </xf>
    <xf numFmtId="3" fontId="12" fillId="0" borderId="0" xfId="0" applyNumberFormat="1" applyFont="1" applyFill="1" applyBorder="1" applyAlignment="1">
      <alignment horizontal="right" wrapText="1"/>
    </xf>
    <xf numFmtId="0" fontId="13" fillId="0" borderId="0" xfId="0" applyFont="1" applyFill="1" applyBorder="1" applyAlignment="1">
      <alignment horizontal="center"/>
    </xf>
    <xf numFmtId="3" fontId="7" fillId="0" borderId="0" xfId="0" applyNumberFormat="1" applyFont="1" applyFill="1" applyBorder="1" applyAlignment="1">
      <alignment horizontal="left"/>
    </xf>
    <xf numFmtId="0" fontId="7" fillId="5" borderId="0" xfId="0" applyFont="1" applyFill="1" applyBorder="1" applyAlignment="1">
      <alignment horizontal="left"/>
    </xf>
    <xf numFmtId="0" fontId="12" fillId="5" borderId="0" xfId="0" applyFont="1" applyFill="1" applyBorder="1" applyAlignment="1">
      <alignment horizontal="right" wrapText="1"/>
    </xf>
    <xf numFmtId="41" fontId="7" fillId="5" borderId="0" xfId="1" applyNumberFormat="1" applyFont="1" applyFill="1" applyBorder="1" applyAlignment="1">
      <alignment horizontal="center"/>
    </xf>
    <xf numFmtId="1" fontId="7" fillId="0" borderId="0" xfId="0" applyNumberFormat="1" applyFont="1" applyFill="1" applyBorder="1" applyAlignment="1" applyProtection="1">
      <alignment horizontal="left"/>
    </xf>
    <xf numFmtId="166" fontId="7" fillId="0" borderId="0" xfId="0" applyNumberFormat="1" applyFont="1" applyFill="1" applyBorder="1" applyAlignment="1" applyProtection="1">
      <alignment horizontal="left"/>
    </xf>
    <xf numFmtId="0" fontId="12" fillId="0" borderId="0" xfId="0" applyFont="1" applyFill="1" applyBorder="1" applyAlignment="1">
      <alignment horizontal="right" wrapText="1"/>
    </xf>
    <xf numFmtId="1" fontId="7" fillId="5" borderId="0" xfId="0" applyNumberFormat="1" applyFont="1" applyFill="1" applyBorder="1" applyAlignment="1">
      <alignment horizontal="left"/>
    </xf>
    <xf numFmtId="0" fontId="12" fillId="0" borderId="0" xfId="0" applyFont="1" applyFill="1" applyBorder="1" applyAlignment="1">
      <alignment horizontal="center"/>
    </xf>
    <xf numFmtId="0" fontId="13" fillId="5" borderId="0" xfId="0" applyFont="1" applyFill="1" applyBorder="1" applyAlignment="1">
      <alignment horizontal="center"/>
    </xf>
    <xf numFmtId="0" fontId="12" fillId="5" borderId="0" xfId="0" applyFont="1" applyFill="1" applyBorder="1" applyAlignment="1">
      <alignment horizontal="center"/>
    </xf>
    <xf numFmtId="0" fontId="15" fillId="5" borderId="0" xfId="57" applyFont="1" applyFill="1" applyBorder="1" applyAlignment="1" applyProtection="1">
      <alignment horizontal="center"/>
    </xf>
    <xf numFmtId="3" fontId="7" fillId="0" borderId="0" xfId="1" applyNumberFormat="1" applyFont="1" applyFill="1" applyBorder="1" applyAlignment="1">
      <alignment horizontal="center"/>
    </xf>
    <xf numFmtId="0" fontId="10" fillId="5" borderId="0" xfId="0" applyFont="1" applyFill="1" applyBorder="1" applyAlignment="1">
      <alignment horizontal="center"/>
    </xf>
    <xf numFmtId="0" fontId="15" fillId="0" borderId="0" xfId="57" applyFont="1" applyFill="1" applyBorder="1" applyAlignment="1" applyProtection="1">
      <alignment horizontal="center"/>
    </xf>
    <xf numFmtId="0" fontId="7" fillId="0" borderId="0" xfId="0" applyFont="1" applyBorder="1" applyAlignment="1">
      <alignment horizontal="left" wrapText="1"/>
    </xf>
    <xf numFmtId="0" fontId="20" fillId="0" borderId="0" xfId="0" applyFont="1" applyBorder="1" applyAlignment="1">
      <alignment horizontal="center"/>
    </xf>
    <xf numFmtId="1" fontId="7" fillId="0" borderId="0" xfId="0" applyNumberFormat="1" applyFont="1" applyBorder="1" applyAlignment="1">
      <alignment horizontal="center"/>
    </xf>
    <xf numFmtId="0" fontId="7" fillId="0" borderId="0" xfId="0" applyFont="1" applyBorder="1" applyAlignment="1">
      <alignment wrapText="1"/>
    </xf>
    <xf numFmtId="1" fontId="7" fillId="0" borderId="0" xfId="0" applyNumberFormat="1" applyFont="1" applyBorder="1"/>
    <xf numFmtId="41" fontId="7" fillId="0" borderId="0" xfId="1" applyNumberFormat="1" applyFont="1" applyBorder="1" applyAlignment="1">
      <alignment horizontal="right"/>
    </xf>
    <xf numFmtId="0" fontId="12" fillId="0" borderId="0" xfId="0" applyFont="1" applyFill="1" applyBorder="1" applyAlignment="1">
      <alignment horizontal="right"/>
    </xf>
    <xf numFmtId="44" fontId="10" fillId="0" borderId="0" xfId="0" applyNumberFormat="1" applyFont="1" applyFill="1" applyBorder="1" applyAlignment="1">
      <alignment horizontal="center"/>
    </xf>
    <xf numFmtId="0" fontId="12" fillId="0" borderId="0" xfId="0" applyFont="1" applyBorder="1" applyAlignment="1">
      <alignment horizontal="right"/>
    </xf>
    <xf numFmtId="0" fontId="13" fillId="0" borderId="0" xfId="0" applyFont="1" applyFill="1" applyBorder="1" applyAlignment="1">
      <alignment horizontal="right"/>
    </xf>
    <xf numFmtId="0" fontId="7" fillId="5" borderId="0" xfId="0" applyFont="1" applyFill="1" applyBorder="1" applyAlignment="1">
      <alignment horizontal="center"/>
    </xf>
    <xf numFmtId="41" fontId="7" fillId="5" borderId="0" xfId="1" applyNumberFormat="1" applyFont="1" applyFill="1" applyBorder="1" applyAlignment="1">
      <alignment horizontal="right"/>
    </xf>
    <xf numFmtId="0" fontId="7" fillId="5" borderId="0" xfId="57" applyFont="1" applyFill="1" applyBorder="1" applyAlignment="1" applyProtection="1">
      <alignment horizontal="right"/>
    </xf>
    <xf numFmtId="0" fontId="12" fillId="5" borderId="0" xfId="0" applyFont="1" applyFill="1" applyBorder="1" applyAlignment="1">
      <alignment horizontal="right"/>
    </xf>
    <xf numFmtId="41" fontId="7" fillId="0" borderId="0" xfId="1" applyNumberFormat="1" applyFont="1" applyFill="1" applyBorder="1" applyAlignment="1">
      <alignment horizontal="right"/>
    </xf>
    <xf numFmtId="3" fontId="10" fillId="0" borderId="0" xfId="0" applyNumberFormat="1" applyFont="1" applyFill="1" applyBorder="1" applyAlignment="1">
      <alignment horizontal="center"/>
    </xf>
    <xf numFmtId="3" fontId="7" fillId="0" borderId="0" xfId="57" applyNumberFormat="1" applyFont="1" applyFill="1" applyBorder="1" applyAlignment="1" applyProtection="1"/>
    <xf numFmtId="0" fontId="7" fillId="0" borderId="0" xfId="0" applyFont="1" applyFill="1" applyBorder="1" applyAlignment="1">
      <alignment horizontal="center" vertical="center"/>
    </xf>
    <xf numFmtId="3" fontId="7" fillId="0" borderId="0" xfId="2" applyNumberFormat="1" applyFont="1" applyFill="1" applyBorder="1" applyAlignment="1">
      <alignment vertical="center"/>
    </xf>
    <xf numFmtId="3" fontId="7" fillId="0" borderId="0" xfId="0" applyNumberFormat="1" applyFont="1" applyFill="1" applyBorder="1" applyAlignment="1">
      <alignment horizontal="center" vertical="center"/>
    </xf>
    <xf numFmtId="0" fontId="7" fillId="7" borderId="0" xfId="0" applyFont="1" applyFill="1" applyBorder="1" applyAlignment="1">
      <alignment horizontal="center"/>
    </xf>
    <xf numFmtId="3" fontId="7" fillId="7" borderId="0" xfId="1" applyNumberFormat="1" applyFont="1" applyFill="1" applyBorder="1" applyAlignment="1"/>
    <xf numFmtId="3" fontId="7" fillId="7" borderId="0" xfId="2" applyNumberFormat="1" applyFont="1" applyFill="1" applyBorder="1" applyAlignment="1"/>
    <xf numFmtId="3" fontId="7" fillId="7" borderId="0" xfId="0" applyNumberFormat="1" applyFont="1" applyFill="1" applyBorder="1" applyAlignment="1">
      <alignment horizontal="center"/>
    </xf>
    <xf numFmtId="3" fontId="12" fillId="7" borderId="0" xfId="0" applyNumberFormat="1" applyFont="1" applyFill="1" applyBorder="1" applyAlignment="1"/>
    <xf numFmtId="3" fontId="7" fillId="7" borderId="0" xfId="57" applyNumberFormat="1" applyFont="1" applyFill="1" applyBorder="1" applyAlignment="1" applyProtection="1"/>
    <xf numFmtId="0" fontId="19" fillId="4" borderId="3" xfId="0" applyFont="1" applyFill="1" applyBorder="1" applyAlignment="1">
      <alignment horizontal="center" vertical="center" wrapText="1"/>
    </xf>
    <xf numFmtId="0" fontId="7" fillId="0" borderId="24" xfId="0" applyFont="1" applyFill="1" applyBorder="1"/>
    <xf numFmtId="0" fontId="7" fillId="7" borderId="24" xfId="0" applyFont="1" applyFill="1" applyBorder="1"/>
    <xf numFmtId="0" fontId="7" fillId="7" borderId="2" xfId="0" applyFont="1" applyFill="1" applyBorder="1"/>
    <xf numFmtId="0" fontId="7" fillId="0" borderId="26" xfId="0" applyFont="1" applyFill="1" applyBorder="1" applyAlignment="1">
      <alignment horizontal="left"/>
    </xf>
    <xf numFmtId="3" fontId="19" fillId="4" borderId="0" xfId="1" applyNumberFormat="1" applyFont="1" applyFill="1" applyBorder="1" applyAlignment="1">
      <alignment horizontal="center" vertical="center" wrapText="1"/>
    </xf>
    <xf numFmtId="10" fontId="19" fillId="4" borderId="0" xfId="1" applyNumberFormat="1" applyFont="1" applyFill="1" applyBorder="1" applyAlignment="1">
      <alignment horizontal="center" vertical="center" wrapText="1"/>
    </xf>
    <xf numFmtId="3" fontId="7" fillId="0" borderId="0" xfId="0" applyNumberFormat="1" applyFont="1" applyBorder="1" applyAlignment="1">
      <alignment horizontal="center" vertical="center"/>
    </xf>
    <xf numFmtId="20" fontId="7" fillId="0" borderId="0" xfId="0" applyNumberFormat="1" applyFont="1" applyBorder="1" applyAlignment="1">
      <alignment horizontal="center" vertical="center"/>
    </xf>
    <xf numFmtId="41" fontId="7" fillId="0" borderId="0" xfId="1" applyNumberFormat="1" applyFont="1" applyBorder="1" applyAlignment="1">
      <alignment horizontal="center" vertical="center" wrapText="1"/>
    </xf>
    <xf numFmtId="10" fontId="7" fillId="0" borderId="0" xfId="0" applyNumberFormat="1" applyFont="1" applyBorder="1" applyAlignment="1">
      <alignment horizontal="center" vertical="center"/>
    </xf>
    <xf numFmtId="44" fontId="7" fillId="0" borderId="0" xfId="2" applyFont="1" applyFill="1" applyBorder="1" applyAlignment="1">
      <alignment horizontal="center" vertical="center" wrapText="1"/>
    </xf>
    <xf numFmtId="44" fontId="10" fillId="0" borderId="0" xfId="0" applyNumberFormat="1" applyFont="1" applyBorder="1" applyAlignment="1">
      <alignment horizontal="center" vertical="center" wrapText="1"/>
    </xf>
    <xf numFmtId="3" fontId="7" fillId="0" borderId="0" xfId="1" applyNumberFormat="1" applyFont="1" applyBorder="1" applyAlignment="1">
      <alignment horizontal="center" vertical="center" wrapText="1"/>
    </xf>
    <xf numFmtId="20" fontId="7" fillId="0" borderId="0" xfId="1" applyNumberFormat="1" applyFont="1" applyBorder="1" applyAlignment="1">
      <alignment horizontal="center" vertical="center" wrapText="1"/>
    </xf>
    <xf numFmtId="10" fontId="7" fillId="0" borderId="0" xfId="1" applyNumberFormat="1" applyFont="1" applyBorder="1" applyAlignment="1">
      <alignment horizontal="center" vertical="center" wrapText="1"/>
    </xf>
    <xf numFmtId="3" fontId="7" fillId="0" borderId="0" xfId="0" applyNumberFormat="1" applyFont="1" applyFill="1" applyBorder="1" applyAlignment="1">
      <alignment horizontal="center" vertical="center" wrapText="1"/>
    </xf>
    <xf numFmtId="44" fontId="7" fillId="0" borderId="0" xfId="2" applyFont="1" applyBorder="1" applyAlignment="1">
      <alignment horizontal="center" vertical="center" wrapText="1"/>
    </xf>
    <xf numFmtId="20" fontId="7" fillId="0" borderId="0" xfId="1" applyNumberFormat="1" applyFont="1" applyBorder="1" applyAlignment="1">
      <alignment horizontal="center"/>
    </xf>
    <xf numFmtId="41" fontId="7" fillId="0" borderId="0" xfId="1" applyNumberFormat="1" applyFont="1" applyBorder="1" applyAlignment="1">
      <alignment horizontal="center" wrapText="1"/>
    </xf>
    <xf numFmtId="0" fontId="10" fillId="0" borderId="0" xfId="0" applyFont="1" applyBorder="1"/>
    <xf numFmtId="3" fontId="7" fillId="0" borderId="0" xfId="0" applyNumberFormat="1" applyFont="1" applyBorder="1" applyAlignment="1">
      <alignment horizontal="center"/>
    </xf>
    <xf numFmtId="10" fontId="7" fillId="0" borderId="0" xfId="0" applyNumberFormat="1" applyFont="1" applyBorder="1" applyAlignment="1">
      <alignment horizontal="center"/>
    </xf>
    <xf numFmtId="20" fontId="7" fillId="0" borderId="0" xfId="0" applyNumberFormat="1" applyFont="1" applyBorder="1" applyAlignment="1">
      <alignment horizontal="center"/>
    </xf>
    <xf numFmtId="0" fontId="7" fillId="0" borderId="0" xfId="0" applyFont="1" applyBorder="1" applyAlignment="1">
      <alignment horizontal="center" wrapText="1"/>
    </xf>
    <xf numFmtId="0" fontId="7" fillId="0" borderId="0" xfId="0" applyNumberFormat="1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7" fillId="0" borderId="26" xfId="0" applyFont="1" applyBorder="1" applyAlignment="1">
      <alignment horizontal="left"/>
    </xf>
    <xf numFmtId="0" fontId="7" fillId="7" borderId="0" xfId="0" applyFont="1" applyFill="1" applyBorder="1" applyAlignment="1">
      <alignment horizontal="center" vertical="center"/>
    </xf>
    <xf numFmtId="3" fontId="7" fillId="7" borderId="0" xfId="1" applyNumberFormat="1" applyFont="1" applyFill="1" applyBorder="1" applyAlignment="1">
      <alignment horizontal="center" vertical="center"/>
    </xf>
    <xf numFmtId="20" fontId="7" fillId="7" borderId="0" xfId="1" applyNumberFormat="1" applyFont="1" applyFill="1" applyBorder="1" applyAlignment="1">
      <alignment horizontal="center" vertical="center"/>
    </xf>
    <xf numFmtId="41" fontId="7" fillId="7" borderId="0" xfId="1" applyNumberFormat="1" applyFont="1" applyFill="1" applyBorder="1" applyAlignment="1">
      <alignment horizontal="center" vertical="center" wrapText="1"/>
    </xf>
    <xf numFmtId="10" fontId="7" fillId="7" borderId="0" xfId="1" applyNumberFormat="1" applyFont="1" applyFill="1" applyBorder="1" applyAlignment="1">
      <alignment horizontal="center" vertical="center"/>
    </xf>
    <xf numFmtId="3" fontId="7" fillId="7" borderId="0" xfId="0" applyNumberFormat="1" applyFont="1" applyFill="1" applyBorder="1" applyAlignment="1">
      <alignment horizontal="center" vertical="center"/>
    </xf>
    <xf numFmtId="44" fontId="7" fillId="7" borderId="0" xfId="2" applyFont="1" applyFill="1" applyBorder="1" applyAlignment="1">
      <alignment horizontal="center" vertical="center" wrapText="1"/>
    </xf>
    <xf numFmtId="3" fontId="7" fillId="7" borderId="0" xfId="1" applyNumberFormat="1" applyFont="1" applyFill="1" applyBorder="1" applyAlignment="1">
      <alignment horizontal="center"/>
    </xf>
    <xf numFmtId="20" fontId="7" fillId="7" borderId="0" xfId="1" applyNumberFormat="1" applyFont="1" applyFill="1" applyBorder="1" applyAlignment="1">
      <alignment horizontal="center"/>
    </xf>
    <xf numFmtId="41" fontId="7" fillId="7" borderId="0" xfId="1" applyNumberFormat="1" applyFont="1" applyFill="1" applyBorder="1" applyAlignment="1">
      <alignment horizontal="center" wrapText="1"/>
    </xf>
    <xf numFmtId="10" fontId="7" fillId="7" borderId="0" xfId="1" applyNumberFormat="1" applyFont="1" applyFill="1" applyBorder="1" applyAlignment="1">
      <alignment horizontal="center"/>
    </xf>
    <xf numFmtId="0" fontId="10" fillId="7" borderId="0" xfId="0" applyFont="1" applyFill="1" applyBorder="1" applyAlignment="1">
      <alignment horizontal="center" vertical="center" wrapText="1"/>
    </xf>
    <xf numFmtId="3" fontId="7" fillId="7" borderId="0" xfId="1" applyNumberFormat="1" applyFont="1" applyFill="1" applyBorder="1" applyAlignment="1">
      <alignment horizontal="center" vertical="center" wrapText="1"/>
    </xf>
    <xf numFmtId="20" fontId="7" fillId="7" borderId="0" xfId="1" applyNumberFormat="1" applyFont="1" applyFill="1" applyBorder="1" applyAlignment="1">
      <alignment horizontal="center" vertical="center" wrapText="1"/>
    </xf>
    <xf numFmtId="10" fontId="7" fillId="7" borderId="0" xfId="1" applyNumberFormat="1" applyFont="1" applyFill="1" applyBorder="1" applyAlignment="1">
      <alignment horizontal="center" vertical="center" wrapText="1"/>
    </xf>
    <xf numFmtId="3" fontId="7" fillId="7" borderId="0" xfId="0" applyNumberFormat="1" applyFont="1" applyFill="1" applyBorder="1" applyAlignment="1">
      <alignment horizontal="center" vertical="center" wrapText="1"/>
    </xf>
    <xf numFmtId="41" fontId="7" fillId="7" borderId="0" xfId="1" applyNumberFormat="1" applyFont="1" applyFill="1" applyBorder="1" applyAlignment="1">
      <alignment horizontal="center"/>
    </xf>
    <xf numFmtId="165" fontId="7" fillId="7" borderId="0" xfId="1" applyNumberFormat="1" applyFont="1" applyFill="1" applyBorder="1" applyAlignment="1">
      <alignment horizontal="center"/>
    </xf>
    <xf numFmtId="20" fontId="7" fillId="7" borderId="0" xfId="0" applyNumberFormat="1" applyFont="1" applyFill="1" applyBorder="1" applyAlignment="1">
      <alignment horizontal="center"/>
    </xf>
    <xf numFmtId="10" fontId="7" fillId="7" borderId="0" xfId="0" applyNumberFormat="1" applyFont="1" applyFill="1" applyBorder="1" applyAlignment="1">
      <alignment horizontal="center"/>
    </xf>
    <xf numFmtId="0" fontId="7" fillId="7" borderId="0" xfId="0" applyFont="1" applyFill="1" applyBorder="1" applyAlignment="1">
      <alignment horizontal="center" wrapText="1"/>
    </xf>
    <xf numFmtId="44" fontId="7" fillId="0" borderId="0" xfId="2" applyFont="1" applyFill="1" applyBorder="1" applyAlignment="1">
      <alignment horizontal="left"/>
    </xf>
    <xf numFmtId="44" fontId="10" fillId="0" borderId="0" xfId="2" applyFont="1" applyFill="1" applyBorder="1" applyAlignment="1">
      <alignment horizontal="center"/>
    </xf>
    <xf numFmtId="164" fontId="10" fillId="0" borderId="25" xfId="0" applyNumberFormat="1" applyFont="1" applyFill="1" applyBorder="1" applyAlignment="1">
      <alignment horizontal="center" vertical="center" wrapText="1"/>
    </xf>
    <xf numFmtId="0" fontId="10" fillId="0" borderId="25" xfId="0" applyFont="1" applyFill="1" applyBorder="1" applyAlignment="1">
      <alignment horizontal="center" vertical="center" wrapText="1"/>
    </xf>
    <xf numFmtId="3" fontId="7" fillId="7" borderId="0" xfId="0" applyNumberFormat="1" applyFont="1" applyFill="1" applyBorder="1" applyAlignment="1">
      <alignment horizontal="left"/>
    </xf>
    <xf numFmtId="44" fontId="7" fillId="7" borderId="0" xfId="2" applyFont="1" applyFill="1" applyBorder="1" applyAlignment="1">
      <alignment horizontal="left"/>
    </xf>
    <xf numFmtId="3" fontId="7" fillId="7" borderId="0" xfId="5" applyNumberFormat="1" applyFont="1" applyFill="1" applyBorder="1" applyAlignment="1">
      <alignment horizontal="left"/>
    </xf>
    <xf numFmtId="0" fontId="17" fillId="7" borderId="18" xfId="0" applyFont="1" applyFill="1" applyBorder="1" applyAlignment="1">
      <alignment horizontal="left" vertical="top" wrapText="1"/>
    </xf>
    <xf numFmtId="0" fontId="17" fillId="7" borderId="4" xfId="0" applyFont="1" applyFill="1" applyBorder="1" applyAlignment="1">
      <alignment horizontal="left" vertical="top" wrapText="1"/>
    </xf>
    <xf numFmtId="0" fontId="17" fillId="7" borderId="9" xfId="0" applyFont="1" applyFill="1" applyBorder="1" applyAlignment="1">
      <alignment horizontal="left" vertical="top" wrapText="1"/>
    </xf>
    <xf numFmtId="0" fontId="17" fillId="7" borderId="1" xfId="0" applyFont="1" applyFill="1" applyBorder="1" applyAlignment="1">
      <alignment horizontal="left" vertical="top" wrapText="1"/>
    </xf>
    <xf numFmtId="44" fontId="7" fillId="7" borderId="15" xfId="2" applyFont="1" applyFill="1" applyBorder="1" applyAlignment="1">
      <alignment horizontal="center"/>
    </xf>
    <xf numFmtId="0" fontId="17" fillId="7" borderId="19" xfId="0" applyFont="1" applyFill="1" applyBorder="1" applyAlignment="1">
      <alignment horizontal="left" vertical="top" wrapText="1"/>
    </xf>
    <xf numFmtId="0" fontId="17" fillId="7" borderId="20" xfId="0" applyFont="1" applyFill="1" applyBorder="1" applyAlignment="1">
      <alignment horizontal="left" vertical="top" wrapText="1"/>
    </xf>
    <xf numFmtId="0" fontId="17" fillId="7" borderId="21" xfId="0" applyFont="1" applyFill="1" applyBorder="1" applyAlignment="1">
      <alignment horizontal="left" vertical="top" wrapText="1"/>
    </xf>
    <xf numFmtId="0" fontId="17" fillId="7" borderId="22" xfId="0" applyFont="1" applyFill="1" applyBorder="1" applyAlignment="1">
      <alignment horizontal="left" vertical="top" wrapText="1"/>
    </xf>
    <xf numFmtId="44" fontId="7" fillId="7" borderId="22" xfId="2" applyFont="1" applyFill="1" applyBorder="1" applyAlignment="1">
      <alignment horizontal="center"/>
    </xf>
    <xf numFmtId="44" fontId="7" fillId="7" borderId="23" xfId="2" applyFont="1" applyFill="1" applyBorder="1" applyAlignment="1">
      <alignment horizontal="center"/>
    </xf>
    <xf numFmtId="0" fontId="20" fillId="4" borderId="11" xfId="0" applyFont="1" applyFill="1" applyBorder="1" applyAlignment="1">
      <alignment horizontal="left"/>
    </xf>
    <xf numFmtId="0" fontId="20" fillId="4" borderId="12" xfId="0" applyFont="1" applyFill="1" applyBorder="1" applyAlignment="1">
      <alignment horizontal="center"/>
    </xf>
    <xf numFmtId="0" fontId="19" fillId="4" borderId="17" xfId="0" applyFont="1" applyFill="1" applyBorder="1" applyAlignment="1">
      <alignment horizontal="center" vertical="center" wrapText="1"/>
    </xf>
    <xf numFmtId="0" fontId="19" fillId="4" borderId="27" xfId="0" applyFont="1" applyFill="1" applyBorder="1" applyAlignment="1">
      <alignment horizontal="center" vertical="center" wrapText="1"/>
    </xf>
    <xf numFmtId="0" fontId="7" fillId="0" borderId="17" xfId="0" applyFont="1" applyBorder="1" applyAlignment="1">
      <alignment horizontal="left" vertical="center"/>
    </xf>
    <xf numFmtId="44" fontId="7" fillId="0" borderId="27" xfId="2" applyFont="1" applyFill="1" applyBorder="1" applyAlignment="1">
      <alignment horizontal="center" vertical="center" wrapText="1"/>
    </xf>
    <xf numFmtId="0" fontId="7" fillId="7" borderId="17" xfId="0" applyFont="1" applyFill="1" applyBorder="1" applyAlignment="1">
      <alignment horizontal="left" vertical="center"/>
    </xf>
    <xf numFmtId="44" fontId="7" fillId="7" borderId="27" xfId="2" applyFont="1" applyFill="1" applyBorder="1" applyAlignment="1">
      <alignment horizontal="center" vertical="center" wrapText="1"/>
    </xf>
    <xf numFmtId="0" fontId="7" fillId="0" borderId="17" xfId="0" applyFont="1" applyBorder="1" applyAlignment="1">
      <alignment horizontal="left" vertical="center" wrapText="1"/>
    </xf>
    <xf numFmtId="0" fontId="12" fillId="7" borderId="17" xfId="0" applyFont="1" applyFill="1" applyBorder="1"/>
    <xf numFmtId="0" fontId="7" fillId="0" borderId="17" xfId="0" applyFont="1" applyBorder="1" applyAlignment="1">
      <alignment horizontal="left"/>
    </xf>
    <xf numFmtId="0" fontId="7" fillId="7" borderId="17" xfId="0" applyFont="1" applyFill="1" applyBorder="1" applyAlignment="1">
      <alignment horizontal="left"/>
    </xf>
    <xf numFmtId="0" fontId="12" fillId="0" borderId="17" xfId="0" applyFont="1" applyFill="1" applyBorder="1" applyAlignment="1">
      <alignment wrapText="1"/>
    </xf>
    <xf numFmtId="0" fontId="12" fillId="0" borderId="17" xfId="0" applyFont="1" applyFill="1" applyBorder="1"/>
    <xf numFmtId="0" fontId="7" fillId="7" borderId="17" xfId="0" applyFont="1" applyFill="1" applyBorder="1" applyAlignment="1">
      <alignment horizontal="left" vertical="center" wrapText="1"/>
    </xf>
    <xf numFmtId="0" fontId="12" fillId="0" borderId="17" xfId="0" applyFont="1" applyBorder="1"/>
    <xf numFmtId="0" fontId="7" fillId="0" borderId="17" xfId="0" applyFont="1" applyBorder="1" applyAlignment="1">
      <alignment horizontal="left" wrapText="1"/>
    </xf>
    <xf numFmtId="0" fontId="12" fillId="7" borderId="17" xfId="0" applyFont="1" applyFill="1" applyBorder="1" applyAlignment="1">
      <alignment horizontal="left"/>
    </xf>
    <xf numFmtId="0" fontId="7" fillId="7" borderId="28" xfId="0" applyFont="1" applyFill="1" applyBorder="1" applyAlignment="1">
      <alignment horizontal="left"/>
    </xf>
    <xf numFmtId="0" fontId="7" fillId="7" borderId="29" xfId="0" applyFont="1" applyFill="1" applyBorder="1" applyAlignment="1">
      <alignment horizontal="center"/>
    </xf>
    <xf numFmtId="3" fontId="7" fillId="7" borderId="29" xfId="0" applyNumberFormat="1" applyFont="1" applyFill="1" applyBorder="1" applyAlignment="1">
      <alignment horizontal="center"/>
    </xf>
    <xf numFmtId="20" fontId="7" fillId="7" borderId="29" xfId="0" applyNumberFormat="1" applyFont="1" applyFill="1" applyBorder="1" applyAlignment="1">
      <alignment horizontal="center"/>
    </xf>
    <xf numFmtId="10" fontId="7" fillId="7" borderId="29" xfId="0" applyNumberFormat="1" applyFont="1" applyFill="1" applyBorder="1" applyAlignment="1">
      <alignment horizontal="center"/>
    </xf>
    <xf numFmtId="44" fontId="7" fillId="7" borderId="29" xfId="2" applyFont="1" applyFill="1" applyBorder="1" applyAlignment="1">
      <alignment horizontal="center" vertical="center" wrapText="1"/>
    </xf>
    <xf numFmtId="44" fontId="7" fillId="7" borderId="30" xfId="2" applyFont="1" applyFill="1" applyBorder="1" applyAlignment="1">
      <alignment horizontal="center" vertical="center" wrapText="1"/>
    </xf>
    <xf numFmtId="0" fontId="19" fillId="4" borderId="11" xfId="0" applyFont="1" applyFill="1" applyBorder="1" applyAlignment="1">
      <alignment horizontal="center" vertical="center" wrapText="1"/>
    </xf>
    <xf numFmtId="0" fontId="19" fillId="4" borderId="12" xfId="0" applyFont="1" applyFill="1" applyBorder="1" applyAlignment="1">
      <alignment horizontal="center" vertical="center" wrapText="1"/>
    </xf>
    <xf numFmtId="1" fontId="19" fillId="4" borderId="12" xfId="0" applyNumberFormat="1" applyFont="1" applyFill="1" applyBorder="1" applyAlignment="1">
      <alignment horizontal="center" vertical="center" wrapText="1"/>
    </xf>
    <xf numFmtId="41" fontId="19" fillId="4" borderId="12" xfId="1" applyNumberFormat="1" applyFont="1" applyFill="1" applyBorder="1" applyAlignment="1">
      <alignment horizontal="center" vertical="center" wrapText="1"/>
    </xf>
    <xf numFmtId="3" fontId="19" fillId="4" borderId="13" xfId="0" applyNumberFormat="1" applyFont="1" applyFill="1" applyBorder="1" applyAlignment="1">
      <alignment horizontal="center" vertical="center" wrapText="1"/>
    </xf>
    <xf numFmtId="3" fontId="7" fillId="5" borderId="17" xfId="0" applyNumberFormat="1" applyFont="1" applyFill="1" applyBorder="1" applyAlignment="1">
      <alignment horizontal="left" wrapText="1"/>
    </xf>
    <xf numFmtId="3" fontId="7" fillId="5" borderId="27" xfId="0" applyNumberFormat="1" applyFont="1" applyFill="1" applyBorder="1" applyAlignment="1">
      <alignment horizontal="left"/>
    </xf>
    <xf numFmtId="3" fontId="7" fillId="0" borderId="27" xfId="0" applyNumberFormat="1" applyFont="1" applyFill="1" applyBorder="1" applyAlignment="1">
      <alignment horizontal="left"/>
    </xf>
    <xf numFmtId="0" fontId="12" fillId="5" borderId="17" xfId="0" applyFont="1" applyFill="1" applyBorder="1" applyAlignment="1">
      <alignment horizontal="left" wrapText="1"/>
    </xf>
    <xf numFmtId="0" fontId="12" fillId="0" borderId="17" xfId="0" applyFont="1" applyBorder="1" applyAlignment="1">
      <alignment horizontal="left" wrapText="1"/>
    </xf>
    <xf numFmtId="0" fontId="7" fillId="5" borderId="17" xfId="0" applyFont="1" applyFill="1" applyBorder="1" applyAlignment="1">
      <alignment horizontal="left" wrapText="1"/>
    </xf>
    <xf numFmtId="0" fontId="12" fillId="0" borderId="17" xfId="0" applyFont="1" applyFill="1" applyBorder="1" applyAlignment="1">
      <alignment horizontal="left" wrapText="1"/>
    </xf>
    <xf numFmtId="0" fontId="7" fillId="0" borderId="17" xfId="0" applyFont="1" applyFill="1" applyBorder="1" applyAlignment="1">
      <alignment horizontal="left" wrapText="1"/>
    </xf>
    <xf numFmtId="3" fontId="7" fillId="0" borderId="27" xfId="5" applyNumberFormat="1" applyFont="1" applyFill="1" applyBorder="1" applyAlignment="1">
      <alignment horizontal="left"/>
    </xf>
    <xf numFmtId="3" fontId="7" fillId="0" borderId="27" xfId="5" applyNumberFormat="1" applyFont="1" applyBorder="1" applyAlignment="1">
      <alignment horizontal="left"/>
    </xf>
    <xf numFmtId="0" fontId="12" fillId="0" borderId="28" xfId="0" applyFont="1" applyBorder="1" applyAlignment="1">
      <alignment horizontal="left" wrapText="1"/>
    </xf>
    <xf numFmtId="0" fontId="7" fillId="0" borderId="29" xfId="0" applyFont="1" applyBorder="1" applyAlignment="1">
      <alignment horizontal="left"/>
    </xf>
    <xf numFmtId="1" fontId="10" fillId="0" borderId="29" xfId="0" applyNumberFormat="1" applyFont="1" applyBorder="1" applyAlignment="1">
      <alignment horizontal="center"/>
    </xf>
    <xf numFmtId="0" fontId="10" fillId="0" borderId="29" xfId="0" applyFont="1" applyBorder="1" applyAlignment="1">
      <alignment horizontal="center"/>
    </xf>
    <xf numFmtId="3" fontId="13" fillId="0" borderId="29" xfId="0" applyNumberFormat="1" applyFont="1" applyFill="1" applyBorder="1" applyAlignment="1">
      <alignment horizontal="right" wrapText="1"/>
    </xf>
    <xf numFmtId="41" fontId="7" fillId="0" borderId="29" xfId="1" applyNumberFormat="1" applyFont="1" applyFill="1" applyBorder="1" applyAlignment="1">
      <alignment horizontal="center"/>
    </xf>
    <xf numFmtId="3" fontId="7" fillId="0" borderId="30" xfId="0" applyNumberFormat="1" applyFont="1" applyFill="1" applyBorder="1" applyAlignment="1">
      <alignment horizontal="center"/>
    </xf>
    <xf numFmtId="0" fontId="19" fillId="4" borderId="13" xfId="0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left"/>
    </xf>
    <xf numFmtId="44" fontId="7" fillId="0" borderId="27" xfId="2" applyFont="1" applyFill="1" applyBorder="1" applyAlignment="1">
      <alignment horizontal="center"/>
    </xf>
    <xf numFmtId="0" fontId="7" fillId="5" borderId="17" xfId="0" applyFont="1" applyFill="1" applyBorder="1" applyAlignment="1">
      <alignment horizontal="left"/>
    </xf>
    <xf numFmtId="44" fontId="7" fillId="5" borderId="27" xfId="2" applyFont="1" applyFill="1" applyBorder="1" applyAlignment="1">
      <alignment horizontal="center"/>
    </xf>
    <xf numFmtId="0" fontId="12" fillId="5" borderId="17" xfId="0" applyFont="1" applyFill="1" applyBorder="1"/>
    <xf numFmtId="0" fontId="12" fillId="0" borderId="17" xfId="0" applyFont="1" applyFill="1" applyBorder="1" applyAlignment="1">
      <alignment horizontal="left"/>
    </xf>
    <xf numFmtId="0" fontId="12" fillId="5" borderId="17" xfId="0" applyFont="1" applyFill="1" applyBorder="1" applyAlignment="1">
      <alignment horizontal="left"/>
    </xf>
    <xf numFmtId="0" fontId="10" fillId="5" borderId="28" xfId="0" applyFont="1" applyFill="1" applyBorder="1" applyAlignment="1">
      <alignment horizontal="right"/>
    </xf>
    <xf numFmtId="0" fontId="7" fillId="5" borderId="29" xfId="0" applyFont="1" applyFill="1" applyBorder="1" applyAlignment="1">
      <alignment horizontal="center"/>
    </xf>
    <xf numFmtId="41" fontId="10" fillId="5" borderId="29" xfId="1" applyNumberFormat="1" applyFont="1" applyFill="1" applyBorder="1" applyAlignment="1">
      <alignment horizontal="right"/>
    </xf>
    <xf numFmtId="0" fontId="10" fillId="5" borderId="29" xfId="0" applyFont="1" applyFill="1" applyBorder="1" applyAlignment="1">
      <alignment horizontal="center"/>
    </xf>
    <xf numFmtId="44" fontId="10" fillId="5" borderId="29" xfId="0" applyNumberFormat="1" applyFont="1" applyFill="1" applyBorder="1" applyAlignment="1">
      <alignment horizontal="center"/>
    </xf>
    <xf numFmtId="44" fontId="10" fillId="5" borderId="30" xfId="0" applyNumberFormat="1" applyFont="1" applyFill="1" applyBorder="1" applyAlignment="1">
      <alignment horizontal="center"/>
    </xf>
    <xf numFmtId="0" fontId="13" fillId="0" borderId="17" xfId="0" applyFont="1" applyFill="1" applyBorder="1" applyAlignment="1">
      <alignment horizontal="right"/>
    </xf>
    <xf numFmtId="44" fontId="10" fillId="0" borderId="27" xfId="0" applyNumberFormat="1" applyFont="1" applyFill="1" applyBorder="1" applyAlignment="1">
      <alignment horizontal="center"/>
    </xf>
    <xf numFmtId="44" fontId="7" fillId="7" borderId="27" xfId="2" applyFont="1" applyFill="1" applyBorder="1" applyAlignment="1">
      <alignment horizontal="center"/>
    </xf>
    <xf numFmtId="3" fontId="7" fillId="7" borderId="29" xfId="1" applyNumberFormat="1" applyFont="1" applyFill="1" applyBorder="1" applyAlignment="1"/>
    <xf numFmtId="3" fontId="7" fillId="7" borderId="29" xfId="2" applyNumberFormat="1" applyFont="1" applyFill="1" applyBorder="1" applyAlignment="1"/>
    <xf numFmtId="44" fontId="7" fillId="7" borderId="31" xfId="2" applyFont="1" applyFill="1" applyBorder="1" applyAlignment="1">
      <alignment horizontal="center"/>
    </xf>
    <xf numFmtId="44" fontId="7" fillId="7" borderId="30" xfId="2" applyFont="1" applyFill="1" applyBorder="1" applyAlignment="1">
      <alignment horizontal="center"/>
    </xf>
    <xf numFmtId="164" fontId="19" fillId="4" borderId="13" xfId="0" applyNumberFormat="1" applyFont="1" applyFill="1" applyBorder="1" applyAlignment="1">
      <alignment horizontal="center" vertical="center" wrapText="1"/>
    </xf>
    <xf numFmtId="44" fontId="10" fillId="0" borderId="27" xfId="2" applyFont="1" applyFill="1" applyBorder="1" applyAlignment="1">
      <alignment horizontal="center"/>
    </xf>
    <xf numFmtId="44" fontId="7" fillId="7" borderId="29" xfId="0" applyNumberFormat="1" applyFont="1" applyFill="1" applyBorder="1" applyAlignment="1">
      <alignment horizontal="center"/>
    </xf>
    <xf numFmtId="164" fontId="7" fillId="7" borderId="30" xfId="0" applyNumberFormat="1" applyFont="1" applyFill="1" applyBorder="1" applyAlignment="1">
      <alignment horizontal="center"/>
    </xf>
    <xf numFmtId="0" fontId="22" fillId="4" borderId="17" xfId="0" applyFont="1" applyFill="1" applyBorder="1" applyAlignment="1">
      <alignment horizontal="center" vertical="center"/>
    </xf>
    <xf numFmtId="0" fontId="22" fillId="4" borderId="27" xfId="0" applyFont="1" applyFill="1" applyBorder="1" applyAlignment="1">
      <alignment horizontal="center" vertical="center"/>
    </xf>
    <xf numFmtId="0" fontId="7" fillId="7" borderId="17" xfId="0" applyFont="1" applyFill="1" applyBorder="1"/>
    <xf numFmtId="44" fontId="7" fillId="7" borderId="27" xfId="2" applyFont="1" applyFill="1" applyBorder="1"/>
    <xf numFmtId="0" fontId="7" fillId="5" borderId="17" xfId="0" applyFont="1" applyFill="1" applyBorder="1"/>
    <xf numFmtId="44" fontId="7" fillId="5" borderId="27" xfId="2" applyFont="1" applyFill="1" applyBorder="1"/>
    <xf numFmtId="0" fontId="7" fillId="4" borderId="17" xfId="0" applyFont="1" applyFill="1" applyBorder="1"/>
    <xf numFmtId="44" fontId="7" fillId="4" borderId="27" xfId="2" applyFont="1" applyFill="1" applyBorder="1"/>
    <xf numFmtId="0" fontId="7" fillId="4" borderId="27" xfId="0" applyFont="1" applyFill="1" applyBorder="1"/>
    <xf numFmtId="0" fontId="20" fillId="4" borderId="28" xfId="0" applyFont="1" applyFill="1" applyBorder="1"/>
    <xf numFmtId="0" fontId="19" fillId="4" borderId="29" xfId="0" applyFont="1" applyFill="1" applyBorder="1" applyAlignment="1">
      <alignment horizontal="right"/>
    </xf>
    <xf numFmtId="44" fontId="19" fillId="4" borderId="30" xfId="0" applyNumberFormat="1" applyFont="1" applyFill="1" applyBorder="1"/>
    <xf numFmtId="44" fontId="7" fillId="0" borderId="0" xfId="0" applyNumberFormat="1" applyFont="1"/>
    <xf numFmtId="44" fontId="10" fillId="6" borderId="12" xfId="0" applyNumberFormat="1" applyFont="1" applyFill="1" applyBorder="1" applyAlignment="1"/>
    <xf numFmtId="0" fontId="25" fillId="0" borderId="0" xfId="0" applyFont="1" applyFill="1" applyBorder="1" applyAlignment="1">
      <alignment vertical="center" wrapText="1"/>
    </xf>
    <xf numFmtId="0" fontId="7" fillId="4" borderId="17" xfId="0" applyFont="1" applyFill="1" applyBorder="1" applyAlignment="1">
      <alignment horizontal="left" vertical="center"/>
    </xf>
    <xf numFmtId="0" fontId="7" fillId="5" borderId="17" xfId="0" applyFont="1" applyFill="1" applyBorder="1" applyAlignment="1">
      <alignment horizontal="left" vertical="center"/>
    </xf>
    <xf numFmtId="167" fontId="17" fillId="5" borderId="0" xfId="98" applyNumberFormat="1" applyFont="1" applyFill="1" applyBorder="1" applyAlignment="1">
      <alignment horizontal="left" wrapText="1"/>
    </xf>
    <xf numFmtId="167" fontId="17" fillId="40" borderId="0" xfId="98" applyNumberFormat="1" applyFont="1" applyFill="1" applyBorder="1" applyAlignment="1">
      <alignment horizontal="left"/>
    </xf>
    <xf numFmtId="0" fontId="17" fillId="5" borderId="0" xfId="98" applyFont="1" applyFill="1" applyBorder="1" applyAlignment="1">
      <alignment horizontal="left" wrapText="1"/>
    </xf>
    <xf numFmtId="167" fontId="17" fillId="0" borderId="0" xfId="98" applyNumberFormat="1" applyFont="1" applyBorder="1" applyAlignment="1">
      <alignment horizontal="left" wrapText="1"/>
    </xf>
    <xf numFmtId="167" fontId="17" fillId="40" borderId="0" xfId="98" applyNumberFormat="1" applyFont="1" applyFill="1" applyBorder="1" applyAlignment="1">
      <alignment horizontal="center" vertical="center" wrapText="1"/>
    </xf>
    <xf numFmtId="166" fontId="17" fillId="5" borderId="0" xfId="98" applyNumberFormat="1" applyFont="1" applyFill="1" applyBorder="1" applyAlignment="1">
      <alignment horizontal="center"/>
    </xf>
    <xf numFmtId="0" fontId="17" fillId="0" borderId="0" xfId="98" applyNumberFormat="1" applyFont="1" applyBorder="1" applyAlignment="1">
      <alignment horizontal="left"/>
    </xf>
    <xf numFmtId="0" fontId="19" fillId="4" borderId="0" xfId="98" applyFont="1" applyFill="1" applyBorder="1" applyAlignment="1">
      <alignment horizontal="center" vertical="center" wrapText="1"/>
    </xf>
    <xf numFmtId="0" fontId="17" fillId="5" borderId="0" xfId="98" applyFont="1" applyFill="1" applyBorder="1" applyAlignment="1">
      <alignment horizontal="left"/>
    </xf>
    <xf numFmtId="0" fontId="17" fillId="0" borderId="0" xfId="98" applyFont="1" applyBorder="1" applyAlignment="1">
      <alignment horizontal="left" wrapText="1"/>
    </xf>
    <xf numFmtId="166" fontId="19" fillId="4" borderId="0" xfId="98" applyNumberFormat="1" applyFont="1" applyFill="1" applyBorder="1" applyAlignment="1">
      <alignment horizontal="center" vertical="center" wrapText="1"/>
    </xf>
    <xf numFmtId="166" fontId="17" fillId="0" borderId="0" xfId="98" applyNumberFormat="1" applyFont="1" applyBorder="1" applyAlignment="1">
      <alignment horizontal="center"/>
    </xf>
    <xf numFmtId="0" fontId="0" fillId="0" borderId="0" xfId="0" applyBorder="1"/>
    <xf numFmtId="0" fontId="17" fillId="0" borderId="0" xfId="98" applyFont="1" applyBorder="1" applyAlignment="1">
      <alignment horizontal="left"/>
    </xf>
    <xf numFmtId="167" fontId="19" fillId="4" borderId="0" xfId="98" applyNumberFormat="1" applyFont="1" applyFill="1" applyBorder="1" applyAlignment="1">
      <alignment horizontal="center" vertical="center" wrapText="1"/>
    </xf>
    <xf numFmtId="167" fontId="13" fillId="0" borderId="0" xfId="98" applyNumberFormat="1" applyFont="1" applyFill="1" applyBorder="1"/>
    <xf numFmtId="167" fontId="0" fillId="0" borderId="0" xfId="0" applyNumberFormat="1" applyBorder="1"/>
    <xf numFmtId="0" fontId="1" fillId="0" borderId="0" xfId="98" applyBorder="1"/>
    <xf numFmtId="167" fontId="12" fillId="39" borderId="0" xfId="98" applyNumberFormat="1" applyFont="1" applyFill="1" applyBorder="1"/>
    <xf numFmtId="0" fontId="12" fillId="39" borderId="0" xfId="98" applyFont="1" applyFill="1" applyBorder="1"/>
    <xf numFmtId="166" fontId="19" fillId="4" borderId="17" xfId="98" applyNumberFormat="1" applyFont="1" applyFill="1" applyBorder="1" applyAlignment="1">
      <alignment horizontal="center" vertical="center" wrapText="1"/>
    </xf>
    <xf numFmtId="167" fontId="19" fillId="4" borderId="27" xfId="98" applyNumberFormat="1" applyFont="1" applyFill="1" applyBorder="1" applyAlignment="1">
      <alignment horizontal="center" vertical="center" wrapText="1"/>
    </xf>
    <xf numFmtId="0" fontId="17" fillId="0" borderId="17" xfId="98" applyFont="1" applyBorder="1"/>
    <xf numFmtId="167" fontId="1" fillId="0" borderId="27" xfId="98" applyNumberFormat="1" applyBorder="1" applyAlignment="1">
      <alignment horizontal="left"/>
    </xf>
    <xf numFmtId="0" fontId="17" fillId="5" borderId="17" xfId="98" applyFont="1" applyFill="1" applyBorder="1"/>
    <xf numFmtId="167" fontId="17" fillId="5" borderId="27" xfId="98" applyNumberFormat="1" applyFont="1" applyFill="1" applyBorder="1" applyAlignment="1">
      <alignment horizontal="left" wrapText="1"/>
    </xf>
    <xf numFmtId="167" fontId="17" fillId="39" borderId="27" xfId="98" applyNumberFormat="1" applyFont="1" applyFill="1" applyBorder="1" applyAlignment="1">
      <alignment horizontal="left" wrapText="1"/>
    </xf>
    <xf numFmtId="167" fontId="17" fillId="39" borderId="27" xfId="98" applyNumberFormat="1" applyFont="1" applyFill="1" applyBorder="1" applyAlignment="1">
      <alignment horizontal="left"/>
    </xf>
    <xf numFmtId="0" fontId="12" fillId="0" borderId="28" xfId="98" applyFont="1" applyFill="1" applyBorder="1"/>
    <xf numFmtId="0" fontId="13" fillId="0" borderId="29" xfId="98" applyFont="1" applyFill="1" applyBorder="1"/>
    <xf numFmtId="167" fontId="13" fillId="0" borderId="29" xfId="98" applyNumberFormat="1" applyFont="1" applyFill="1" applyBorder="1" applyAlignment="1">
      <alignment horizontal="left"/>
    </xf>
    <xf numFmtId="0" fontId="13" fillId="0" borderId="29" xfId="98" applyFont="1" applyFill="1" applyBorder="1" applyAlignment="1">
      <alignment horizontal="left"/>
    </xf>
    <xf numFmtId="167" fontId="13" fillId="0" borderId="30" xfId="98" applyNumberFormat="1" applyFont="1" applyFill="1" applyBorder="1" applyAlignment="1">
      <alignment horizontal="left"/>
    </xf>
    <xf numFmtId="0" fontId="7" fillId="6" borderId="17" xfId="0" applyFont="1" applyFill="1" applyBorder="1" applyAlignment="1">
      <alignment horizontal="left" vertical="center"/>
    </xf>
    <xf numFmtId="0" fontId="7" fillId="6" borderId="0" xfId="0" applyFont="1" applyFill="1" applyBorder="1" applyAlignment="1">
      <alignment wrapText="1"/>
    </xf>
    <xf numFmtId="44" fontId="7" fillId="6" borderId="27" xfId="2" applyFont="1" applyFill="1" applyBorder="1"/>
    <xf numFmtId="0" fontId="10" fillId="7" borderId="0" xfId="0" applyFont="1" applyFill="1"/>
    <xf numFmtId="44" fontId="10" fillId="7" borderId="0" xfId="0" applyNumberFormat="1" applyFont="1" applyFill="1"/>
    <xf numFmtId="0" fontId="10" fillId="7" borderId="0" xfId="0" applyFont="1" applyFill="1" applyAlignment="1">
      <alignment horizontal="right"/>
    </xf>
    <xf numFmtId="44" fontId="10" fillId="7" borderId="0" xfId="0" applyNumberFormat="1" applyFont="1" applyFill="1" applyAlignment="1">
      <alignment horizontal="right"/>
    </xf>
    <xf numFmtId="3" fontId="7" fillId="0" borderId="0" xfId="0" applyNumberFormat="1" applyFont="1" applyFill="1" applyBorder="1" applyAlignment="1">
      <alignment horizontal="center"/>
    </xf>
    <xf numFmtId="3" fontId="7" fillId="5" borderId="0" xfId="0" applyNumberFormat="1" applyFont="1" applyFill="1" applyBorder="1" applyAlignment="1">
      <alignment horizontal="center"/>
    </xf>
    <xf numFmtId="0" fontId="25" fillId="6" borderId="29" xfId="0" applyFont="1" applyFill="1" applyBorder="1" applyAlignment="1">
      <alignment horizontal="center" vertical="center" wrapText="1"/>
    </xf>
    <xf numFmtId="0" fontId="25" fillId="6" borderId="32" xfId="0" applyFont="1" applyFill="1" applyBorder="1" applyAlignment="1">
      <alignment horizontal="center" vertical="center" wrapText="1"/>
    </xf>
    <xf numFmtId="0" fontId="25" fillId="6" borderId="33" xfId="0" applyFont="1" applyFill="1" applyBorder="1" applyAlignment="1">
      <alignment horizontal="center" vertical="center" wrapText="1"/>
    </xf>
    <xf numFmtId="0" fontId="25" fillId="6" borderId="34" xfId="0" applyFont="1" applyFill="1" applyBorder="1" applyAlignment="1">
      <alignment horizontal="center" vertical="center" wrapText="1"/>
    </xf>
    <xf numFmtId="0" fontId="25" fillId="5" borderId="32" xfId="0" applyFont="1" applyFill="1" applyBorder="1" applyAlignment="1">
      <alignment horizontal="center" vertical="center"/>
    </xf>
    <xf numFmtId="0" fontId="25" fillId="5" borderId="33" xfId="0" applyFont="1" applyFill="1" applyBorder="1" applyAlignment="1">
      <alignment horizontal="center" vertical="center"/>
    </xf>
    <xf numFmtId="0" fontId="25" fillId="5" borderId="34" xfId="0" applyFont="1" applyFill="1" applyBorder="1" applyAlignment="1">
      <alignment horizontal="center" vertical="center"/>
    </xf>
    <xf numFmtId="0" fontId="25" fillId="6" borderId="11" xfId="0" applyFont="1" applyFill="1" applyBorder="1" applyAlignment="1">
      <alignment horizontal="center" vertical="center"/>
    </xf>
    <xf numFmtId="0" fontId="25" fillId="6" borderId="12" xfId="0" applyFont="1" applyFill="1" applyBorder="1" applyAlignment="1">
      <alignment horizontal="center" vertical="center"/>
    </xf>
    <xf numFmtId="0" fontId="25" fillId="6" borderId="13" xfId="0" applyFont="1" applyFill="1" applyBorder="1" applyAlignment="1">
      <alignment horizontal="center" vertical="center"/>
    </xf>
    <xf numFmtId="41" fontId="19" fillId="4" borderId="12" xfId="1" applyNumberFormat="1" applyFont="1" applyFill="1" applyBorder="1" applyAlignment="1">
      <alignment horizontal="center"/>
    </xf>
    <xf numFmtId="0" fontId="19" fillId="4" borderId="12" xfId="0" applyFont="1" applyFill="1" applyBorder="1" applyAlignment="1">
      <alignment horizontal="center"/>
    </xf>
    <xf numFmtId="0" fontId="19" fillId="4" borderId="13" xfId="0" applyFont="1" applyFill="1" applyBorder="1" applyAlignment="1">
      <alignment horizontal="center"/>
    </xf>
    <xf numFmtId="0" fontId="25" fillId="5" borderId="29" xfId="0" applyFont="1" applyFill="1" applyBorder="1" applyAlignment="1">
      <alignment horizontal="center" vertical="center"/>
    </xf>
    <xf numFmtId="0" fontId="10" fillId="0" borderId="17" xfId="0" applyFont="1" applyFill="1" applyBorder="1" applyAlignment="1">
      <alignment horizontal="right"/>
    </xf>
    <xf numFmtId="0" fontId="10" fillId="0" borderId="0" xfId="0" applyFont="1" applyFill="1" applyBorder="1" applyAlignment="1">
      <alignment horizontal="right"/>
    </xf>
    <xf numFmtId="0" fontId="7" fillId="7" borderId="28" xfId="0" applyFont="1" applyFill="1" applyBorder="1" applyAlignment="1">
      <alignment horizontal="right"/>
    </xf>
    <xf numFmtId="0" fontId="7" fillId="7" borderId="29" xfId="0" applyFont="1" applyFill="1" applyBorder="1" applyAlignment="1">
      <alignment horizontal="right"/>
    </xf>
    <xf numFmtId="0" fontId="25" fillId="5" borderId="29" xfId="0" applyFont="1" applyFill="1" applyBorder="1" applyAlignment="1">
      <alignment horizontal="center"/>
    </xf>
    <xf numFmtId="44" fontId="19" fillId="4" borderId="1" xfId="2" applyFont="1" applyFill="1" applyBorder="1" applyAlignment="1">
      <alignment horizontal="center"/>
    </xf>
    <xf numFmtId="44" fontId="19" fillId="4" borderId="15" xfId="2" applyFont="1" applyFill="1" applyBorder="1" applyAlignment="1">
      <alignment horizontal="center"/>
    </xf>
    <xf numFmtId="0" fontId="17" fillId="0" borderId="17" xfId="0" applyFont="1" applyBorder="1" applyAlignment="1">
      <alignment horizontal="center" vertical="top" wrapText="1"/>
    </xf>
    <xf numFmtId="0" fontId="17" fillId="0" borderId="0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25" fillId="5" borderId="11" xfId="0" applyFont="1" applyFill="1" applyBorder="1" applyAlignment="1">
      <alignment horizontal="center" vertical="center" wrapText="1"/>
    </xf>
    <xf numFmtId="0" fontId="25" fillId="5" borderId="12" xfId="0" applyFont="1" applyFill="1" applyBorder="1" applyAlignment="1">
      <alignment horizontal="center" vertical="center" wrapText="1"/>
    </xf>
    <xf numFmtId="0" fontId="25" fillId="5" borderId="13" xfId="0" applyFont="1" applyFill="1" applyBorder="1" applyAlignment="1">
      <alignment horizontal="center" vertical="center" wrapText="1"/>
    </xf>
    <xf numFmtId="0" fontId="23" fillId="7" borderId="11" xfId="0" applyFont="1" applyFill="1" applyBorder="1" applyAlignment="1">
      <alignment horizontal="center" vertical="center" wrapText="1"/>
    </xf>
    <xf numFmtId="0" fontId="23" fillId="7" borderId="12" xfId="0" applyFont="1" applyFill="1" applyBorder="1" applyAlignment="1">
      <alignment horizontal="center" vertical="center" wrapText="1"/>
    </xf>
    <xf numFmtId="0" fontId="23" fillId="7" borderId="13" xfId="0" applyFont="1" applyFill="1" applyBorder="1" applyAlignment="1">
      <alignment horizontal="center" vertical="center" wrapText="1"/>
    </xf>
    <xf numFmtId="0" fontId="10" fillId="6" borderId="12" xfId="0" applyFont="1" applyFill="1" applyBorder="1" applyAlignment="1">
      <alignment horizontal="right"/>
    </xf>
  </cellXfs>
  <cellStyles count="100">
    <cellStyle name="20% - Accent1" xfId="75" builtinId="30" customBuiltin="1"/>
    <cellStyle name="20% - Accent2" xfId="79" builtinId="34" customBuiltin="1"/>
    <cellStyle name="20% - Accent3" xfId="83" builtinId="38" customBuiltin="1"/>
    <cellStyle name="20% - Accent4" xfId="87" builtinId="42" customBuiltin="1"/>
    <cellStyle name="20% - Accent5" xfId="91" builtinId="46" customBuiltin="1"/>
    <cellStyle name="20% - Accent6" xfId="95" builtinId="50" customBuiltin="1"/>
    <cellStyle name="40% - Accent1" xfId="76" builtinId="31" customBuiltin="1"/>
    <cellStyle name="40% - Accent2" xfId="80" builtinId="35" customBuiltin="1"/>
    <cellStyle name="40% - Accent3" xfId="84" builtinId="39" customBuiltin="1"/>
    <cellStyle name="40% - Accent4" xfId="88" builtinId="43" customBuiltin="1"/>
    <cellStyle name="40% - Accent5" xfId="92" builtinId="47" customBuiltin="1"/>
    <cellStyle name="40% - Accent6" xfId="96" builtinId="51" customBuiltin="1"/>
    <cellStyle name="60% - Accent1" xfId="77" builtinId="32" customBuiltin="1"/>
    <cellStyle name="60% - Accent2" xfId="81" builtinId="36" customBuiltin="1"/>
    <cellStyle name="60% - Accent3" xfId="85" builtinId="40" customBuiltin="1"/>
    <cellStyle name="60% - Accent4" xfId="89" builtinId="44" customBuiltin="1"/>
    <cellStyle name="60% - Accent5" xfId="93" builtinId="48" customBuiltin="1"/>
    <cellStyle name="60% - Accent6" xfId="97" builtinId="52" customBuiltin="1"/>
    <cellStyle name="Accent1" xfId="74" builtinId="29" customBuiltin="1"/>
    <cellStyle name="Accent2" xfId="78" builtinId="33" customBuiltin="1"/>
    <cellStyle name="Accent3" xfId="82" builtinId="37" customBuiltin="1"/>
    <cellStyle name="Accent4" xfId="86" builtinId="41" customBuiltin="1"/>
    <cellStyle name="Accent5" xfId="90" builtinId="45" customBuiltin="1"/>
    <cellStyle name="Accent6" xfId="94" builtinId="49" customBuiltin="1"/>
    <cellStyle name="Bad" xfId="64" builtinId="27" customBuiltin="1"/>
    <cellStyle name="Calculation" xfId="68" builtinId="22" customBuiltin="1"/>
    <cellStyle name="Check Cell" xfId="70" builtinId="23" customBuiltin="1"/>
    <cellStyle name="Comma" xfId="1" builtinId="3"/>
    <cellStyle name="Comma 2" xfId="15"/>
    <cellStyle name="Comma 2 2" xfId="18"/>
    <cellStyle name="Comma 2 2 2" xfId="46"/>
    <cellStyle name="Comma 2 3" xfId="24"/>
    <cellStyle name="Comma 2 3 2" xfId="48"/>
    <cellStyle name="Comma 3" xfId="17"/>
    <cellStyle name="Comma 3 2" xfId="27"/>
    <cellStyle name="Comma 3 2 2" xfId="51"/>
    <cellStyle name="Comma 4" xfId="26"/>
    <cellStyle name="Comma 4 2" xfId="50"/>
    <cellStyle name="Comma 5" xfId="31"/>
    <cellStyle name="Comma 6" xfId="8"/>
    <cellStyle name="Comma 7" xfId="4"/>
    <cellStyle name="Comma 7 2" xfId="42"/>
    <cellStyle name="Comma 8" xfId="39"/>
    <cellStyle name="Currency" xfId="2" builtinId="4"/>
    <cellStyle name="Currency 2" xfId="16"/>
    <cellStyle name="Currency 2 2" xfId="25"/>
    <cellStyle name="Currency 2 2 2" xfId="49"/>
    <cellStyle name="Currency 3" xfId="19"/>
    <cellStyle name="Currency 3 2" xfId="28"/>
    <cellStyle name="Currency 3 2 2" xfId="52"/>
    <cellStyle name="Currency 4" xfId="22"/>
    <cellStyle name="Currency 4 2" xfId="47"/>
    <cellStyle name="Currency 5" xfId="40"/>
    <cellStyle name="Explanatory Text" xfId="72" builtinId="53" customBuiltin="1"/>
    <cellStyle name="Good" xfId="63" builtinId="26" customBuiltin="1"/>
    <cellStyle name="Heading 1" xfId="59" builtinId="16" customBuiltin="1"/>
    <cellStyle name="Heading 2" xfId="60" builtinId="17" customBuiltin="1"/>
    <cellStyle name="Heading 3" xfId="61" builtinId="18" customBuiltin="1"/>
    <cellStyle name="Heading 4" xfId="62" builtinId="19" customBuiltin="1"/>
    <cellStyle name="Hyperlink" xfId="57" builtinId="8"/>
    <cellStyle name="Input" xfId="66" builtinId="20" customBuiltin="1"/>
    <cellStyle name="Linked Cell" xfId="69" builtinId="24" customBuiltin="1"/>
    <cellStyle name="Neutral" xfId="65" builtinId="28" customBuiltin="1"/>
    <cellStyle name="Normal" xfId="0" builtinId="0"/>
    <cellStyle name="Normal 10" xfId="98"/>
    <cellStyle name="Normal 2" xfId="5"/>
    <cellStyle name="Normal 2 2" xfId="9"/>
    <cellStyle name="Normal 2 2 2" xfId="43"/>
    <cellStyle name="Normal 2 3" xfId="14"/>
    <cellStyle name="Normal 2 3 2" xfId="35"/>
    <cellStyle name="Normal 2 3 2 2" xfId="56"/>
    <cellStyle name="Normal 2 4" xfId="32"/>
    <cellStyle name="Normal 2 4 2" xfId="54"/>
    <cellStyle name="Normal 2 5" xfId="11"/>
    <cellStyle name="Normal 2 5 2" xfId="44"/>
    <cellStyle name="Normal 3" xfId="10"/>
    <cellStyle name="Normal 3 2" xfId="29"/>
    <cellStyle name="Normal 3 3" xfId="21"/>
    <cellStyle name="Normal 3 3 2" xfId="36"/>
    <cellStyle name="Normal 4" xfId="12"/>
    <cellStyle name="Normal 4 2" xfId="45"/>
    <cellStyle name="Normal 5" xfId="23"/>
    <cellStyle name="Normal 5 2" xfId="34"/>
    <cellStyle name="Normal 5 2 2" xfId="55"/>
    <cellStyle name="Normal 6" xfId="20"/>
    <cellStyle name="Normal 6 2" xfId="33"/>
    <cellStyle name="Normal 7" xfId="6"/>
    <cellStyle name="Normal 7 2" xfId="37"/>
    <cellStyle name="Normal 8" xfId="3"/>
    <cellStyle name="Normal 8 2" xfId="41"/>
    <cellStyle name="Normal 9" xfId="38"/>
    <cellStyle name="Note 2" xfId="99"/>
    <cellStyle name="Output" xfId="67" builtinId="21" customBuiltin="1"/>
    <cellStyle name="Percent 2" xfId="30"/>
    <cellStyle name="Percent 2 2" xfId="53"/>
    <cellStyle name="Percent 3" xfId="13"/>
    <cellStyle name="Percent 4" xfId="7"/>
    <cellStyle name="Title" xfId="58" builtinId="15" customBuiltin="1"/>
    <cellStyle name="Total" xfId="73" builtinId="25" customBuiltin="1"/>
    <cellStyle name="Warning Text" xfId="71" builtinId="11" customBuiltin="1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9"/>
  <sheetViews>
    <sheetView zoomScale="80" zoomScaleNormal="80" workbookViewId="0">
      <pane ySplit="690" activePane="bottomLeft"/>
      <selection activeCell="J1" sqref="J1:J1048576"/>
      <selection pane="bottomLeft" activeCell="E9" sqref="E9"/>
    </sheetView>
  </sheetViews>
  <sheetFormatPr defaultColWidth="9.140625" defaultRowHeight="12.75" customHeight="1" x14ac:dyDescent="0.2"/>
  <cols>
    <col min="1" max="1" width="36.42578125" style="92" customWidth="1"/>
    <col min="2" max="2" width="13.28515625" style="6" customWidth="1"/>
    <col min="3" max="3" width="14" style="94" customWidth="1"/>
    <col min="4" max="4" width="27.7109375" style="16" customWidth="1"/>
    <col min="5" max="7" width="14" style="16" customWidth="1"/>
    <col min="8" max="9" width="14" style="8" customWidth="1"/>
    <col min="10" max="10" width="17.7109375" style="8" hidden="1" customWidth="1"/>
    <col min="11" max="11" width="12" style="8" hidden="1" customWidth="1"/>
    <col min="12" max="13" width="14" style="8" customWidth="1"/>
    <col min="14" max="14" width="21.85546875" style="27" hidden="1" customWidth="1"/>
    <col min="15" max="15" width="18.28515625" style="25" customWidth="1"/>
    <col min="16" max="16384" width="9.140625" style="16"/>
  </cols>
  <sheetData>
    <row r="1" spans="1:15" ht="36" customHeight="1" thickBot="1" x14ac:dyDescent="0.25">
      <c r="A1" s="316" t="s">
        <v>375</v>
      </c>
      <c r="B1" s="316"/>
      <c r="C1" s="316"/>
      <c r="D1" s="316"/>
      <c r="E1" s="316"/>
      <c r="F1" s="316"/>
      <c r="G1" s="316"/>
      <c r="H1" s="316"/>
      <c r="I1" s="316"/>
      <c r="J1" s="316"/>
      <c r="K1" s="316"/>
      <c r="L1" s="316"/>
      <c r="M1" s="316"/>
      <c r="N1" s="316"/>
      <c r="O1" s="316"/>
    </row>
    <row r="2" spans="1:15" s="4" customFormat="1" ht="59.45" customHeight="1" x14ac:dyDescent="0.2">
      <c r="A2" s="210" t="s">
        <v>37</v>
      </c>
      <c r="B2" s="211" t="s">
        <v>123</v>
      </c>
      <c r="C2" s="212" t="s">
        <v>127</v>
      </c>
      <c r="D2" s="211" t="s">
        <v>207</v>
      </c>
      <c r="E2" s="211" t="s">
        <v>203</v>
      </c>
      <c r="F2" s="211" t="s">
        <v>204</v>
      </c>
      <c r="G2" s="211" t="s">
        <v>205</v>
      </c>
      <c r="H2" s="211" t="s">
        <v>138</v>
      </c>
      <c r="I2" s="211" t="s">
        <v>139</v>
      </c>
      <c r="J2" s="211" t="s">
        <v>140</v>
      </c>
      <c r="K2" s="211" t="s">
        <v>148</v>
      </c>
      <c r="L2" s="211" t="s">
        <v>128</v>
      </c>
      <c r="M2" s="211" t="s">
        <v>158</v>
      </c>
      <c r="N2" s="213" t="s">
        <v>381</v>
      </c>
      <c r="O2" s="214" t="s">
        <v>382</v>
      </c>
    </row>
    <row r="3" spans="1:15" ht="12.75" customHeight="1" x14ac:dyDescent="0.2">
      <c r="A3" s="215" t="s">
        <v>74</v>
      </c>
      <c r="B3" s="68" t="s">
        <v>9</v>
      </c>
      <c r="C3" s="69">
        <v>35898</v>
      </c>
      <c r="D3" s="70" t="s">
        <v>208</v>
      </c>
      <c r="E3" s="71">
        <v>600</v>
      </c>
      <c r="F3" s="71">
        <v>475</v>
      </c>
      <c r="G3" s="71">
        <v>1090</v>
      </c>
      <c r="H3" s="72">
        <v>79000</v>
      </c>
      <c r="I3" s="72">
        <v>20500</v>
      </c>
      <c r="J3" s="72"/>
      <c r="K3" s="72"/>
      <c r="L3" s="72">
        <f t="shared" ref="L3:L8" si="0">SUM(E3:K3)</f>
        <v>101665</v>
      </c>
      <c r="M3" s="72">
        <f>E3-F3</f>
        <v>125</v>
      </c>
      <c r="N3" s="73"/>
      <c r="O3" s="216">
        <v>440564</v>
      </c>
    </row>
    <row r="4" spans="1:15" ht="12.75" customHeight="1" x14ac:dyDescent="0.2">
      <c r="A4" s="201" t="s">
        <v>77</v>
      </c>
      <c r="B4" s="6" t="s">
        <v>9</v>
      </c>
      <c r="C4" s="74">
        <v>36362</v>
      </c>
      <c r="D4" s="6" t="s">
        <v>206</v>
      </c>
      <c r="E4" s="75">
        <v>3673</v>
      </c>
      <c r="F4" s="75">
        <v>2169</v>
      </c>
      <c r="G4" s="75">
        <v>4114</v>
      </c>
      <c r="H4" s="25">
        <v>7824</v>
      </c>
      <c r="I4" s="25">
        <v>10158</v>
      </c>
      <c r="J4" s="25">
        <v>1291</v>
      </c>
      <c r="K4" s="25">
        <v>2431</v>
      </c>
      <c r="L4" s="25">
        <f t="shared" si="0"/>
        <v>31660</v>
      </c>
      <c r="M4" s="25">
        <f t="shared" ref="M4:M66" si="1">E4-F4</f>
        <v>1504</v>
      </c>
      <c r="N4" s="76"/>
      <c r="O4" s="217">
        <v>251257</v>
      </c>
    </row>
    <row r="5" spans="1:15" ht="12.75" customHeight="1" x14ac:dyDescent="0.2">
      <c r="A5" s="218" t="s">
        <v>47</v>
      </c>
      <c r="B5" s="78" t="s">
        <v>9</v>
      </c>
      <c r="C5" s="69">
        <v>36201</v>
      </c>
      <c r="D5" s="70" t="s">
        <v>209</v>
      </c>
      <c r="E5" s="79">
        <v>19</v>
      </c>
      <c r="F5" s="79"/>
      <c r="G5" s="79"/>
      <c r="H5" s="72"/>
      <c r="I5" s="72">
        <v>4134</v>
      </c>
      <c r="J5" s="72"/>
      <c r="K5" s="72"/>
      <c r="L5" s="72">
        <f t="shared" si="0"/>
        <v>4153</v>
      </c>
      <c r="M5" s="72">
        <f t="shared" si="1"/>
        <v>19</v>
      </c>
      <c r="N5" s="80"/>
      <c r="O5" s="216"/>
    </row>
    <row r="6" spans="1:15" ht="12.75" customHeight="1" x14ac:dyDescent="0.2">
      <c r="A6" s="219" t="s">
        <v>91</v>
      </c>
      <c r="B6" s="6" t="s">
        <v>111</v>
      </c>
      <c r="C6" s="81">
        <v>99703</v>
      </c>
      <c r="D6" s="82" t="s">
        <v>210</v>
      </c>
      <c r="E6" s="75">
        <v>5888</v>
      </c>
      <c r="F6" s="75">
        <v>3023</v>
      </c>
      <c r="G6" s="75">
        <v>4777</v>
      </c>
      <c r="H6" s="25">
        <v>959</v>
      </c>
      <c r="I6" s="25">
        <v>1049</v>
      </c>
      <c r="J6" s="25">
        <v>0</v>
      </c>
      <c r="K6" s="25">
        <v>0</v>
      </c>
      <c r="L6" s="25">
        <f t="shared" si="0"/>
        <v>15696</v>
      </c>
      <c r="M6" s="25">
        <f t="shared" si="1"/>
        <v>2865</v>
      </c>
      <c r="O6" s="217">
        <v>274442</v>
      </c>
    </row>
    <row r="7" spans="1:15" ht="12.75" customHeight="1" x14ac:dyDescent="0.2">
      <c r="A7" s="218" t="s">
        <v>262</v>
      </c>
      <c r="B7" s="78" t="s">
        <v>111</v>
      </c>
      <c r="C7" s="70">
        <v>99505</v>
      </c>
      <c r="D7" s="70" t="s">
        <v>263</v>
      </c>
      <c r="E7" s="71">
        <v>5905</v>
      </c>
      <c r="F7" s="71">
        <v>3399</v>
      </c>
      <c r="G7" s="71">
        <v>5314</v>
      </c>
      <c r="H7" s="72"/>
      <c r="I7" s="72"/>
      <c r="J7" s="72"/>
      <c r="K7" s="72"/>
      <c r="L7" s="72">
        <f t="shared" si="0"/>
        <v>14618</v>
      </c>
      <c r="M7" s="72">
        <f t="shared" si="1"/>
        <v>2506</v>
      </c>
      <c r="N7" s="80"/>
      <c r="O7" s="216"/>
    </row>
    <row r="8" spans="1:15" ht="12.75" customHeight="1" x14ac:dyDescent="0.2">
      <c r="A8" s="201" t="s">
        <v>56</v>
      </c>
      <c r="B8" s="6" t="s">
        <v>10</v>
      </c>
      <c r="C8" s="81">
        <v>85613</v>
      </c>
      <c r="D8" s="82" t="s">
        <v>211</v>
      </c>
      <c r="E8" s="75">
        <v>4037</v>
      </c>
      <c r="F8" s="75">
        <v>2083</v>
      </c>
      <c r="G8" s="75">
        <v>3895</v>
      </c>
      <c r="H8" s="25">
        <f>14069+5606</f>
        <v>19675</v>
      </c>
      <c r="I8" s="25">
        <v>3357</v>
      </c>
      <c r="J8" s="25">
        <v>0</v>
      </c>
      <c r="K8" s="25">
        <v>2157</v>
      </c>
      <c r="L8" s="25">
        <f t="shared" si="0"/>
        <v>35204</v>
      </c>
      <c r="M8" s="25">
        <f t="shared" si="1"/>
        <v>1954</v>
      </c>
      <c r="O8" s="217">
        <v>166560</v>
      </c>
    </row>
    <row r="9" spans="1:15" ht="12.75" customHeight="1" x14ac:dyDescent="0.2">
      <c r="A9" s="220" t="s">
        <v>83</v>
      </c>
      <c r="B9" s="78" t="s">
        <v>10</v>
      </c>
      <c r="C9" s="69">
        <v>85365</v>
      </c>
      <c r="D9" s="70" t="s">
        <v>212</v>
      </c>
      <c r="E9" s="71">
        <v>106</v>
      </c>
      <c r="F9" s="71">
        <v>88</v>
      </c>
      <c r="G9" s="71">
        <v>186</v>
      </c>
      <c r="H9" s="72"/>
      <c r="I9" s="72"/>
      <c r="J9" s="72"/>
      <c r="K9" s="72"/>
      <c r="L9" s="72">
        <v>2000</v>
      </c>
      <c r="M9" s="72">
        <f t="shared" si="1"/>
        <v>18</v>
      </c>
      <c r="N9" s="80"/>
      <c r="O9" s="216">
        <v>37058</v>
      </c>
    </row>
    <row r="10" spans="1:15" ht="12.75" customHeight="1" x14ac:dyDescent="0.2">
      <c r="A10" s="201" t="s">
        <v>71</v>
      </c>
      <c r="B10" s="6" t="s">
        <v>11</v>
      </c>
      <c r="C10" s="81">
        <v>71602</v>
      </c>
      <c r="D10" s="82" t="s">
        <v>213</v>
      </c>
      <c r="E10" s="83">
        <v>120</v>
      </c>
      <c r="F10" s="83">
        <v>101</v>
      </c>
      <c r="G10" s="83">
        <v>204</v>
      </c>
      <c r="H10" s="25"/>
      <c r="I10" s="25"/>
      <c r="J10" s="25"/>
      <c r="K10" s="25"/>
      <c r="L10" s="25">
        <f t="shared" ref="L10:L34" si="2">SUM(E10:K10)</f>
        <v>425</v>
      </c>
      <c r="M10" s="25">
        <f t="shared" si="1"/>
        <v>19</v>
      </c>
      <c r="N10" s="76"/>
      <c r="O10" s="217"/>
    </row>
    <row r="11" spans="1:15" ht="27.75" customHeight="1" x14ac:dyDescent="0.2">
      <c r="A11" s="220" t="s">
        <v>95</v>
      </c>
      <c r="B11" s="78" t="s">
        <v>109</v>
      </c>
      <c r="C11" s="84" t="s">
        <v>132</v>
      </c>
      <c r="D11" s="78" t="s">
        <v>109</v>
      </c>
      <c r="E11" s="71">
        <f>SUM(E7:E10)</f>
        <v>10168</v>
      </c>
      <c r="F11" s="71">
        <f>SUM(F7:F10)</f>
        <v>5671</v>
      </c>
      <c r="G11" s="71">
        <f>SUM(G7:G10)</f>
        <v>9599</v>
      </c>
      <c r="H11" s="72"/>
      <c r="I11" s="72"/>
      <c r="J11" s="72"/>
      <c r="K11" s="72"/>
      <c r="L11" s="72">
        <f t="shared" si="2"/>
        <v>25438</v>
      </c>
      <c r="M11" s="72">
        <f t="shared" si="1"/>
        <v>4497</v>
      </c>
      <c r="N11" s="80"/>
      <c r="O11" s="216"/>
    </row>
    <row r="12" spans="1:15" ht="12.75" customHeight="1" x14ac:dyDescent="0.2">
      <c r="A12" s="201" t="s">
        <v>116</v>
      </c>
      <c r="B12" s="6" t="s">
        <v>12</v>
      </c>
      <c r="C12" s="81">
        <v>93944</v>
      </c>
      <c r="D12" s="82" t="s">
        <v>214</v>
      </c>
      <c r="E12" s="75">
        <v>1679</v>
      </c>
      <c r="F12" s="83">
        <v>752</v>
      </c>
      <c r="G12" s="75">
        <v>1083</v>
      </c>
      <c r="H12" s="25"/>
      <c r="I12" s="25"/>
      <c r="J12" s="25"/>
      <c r="K12" s="25">
        <v>3500</v>
      </c>
      <c r="L12" s="25">
        <f t="shared" si="2"/>
        <v>7014</v>
      </c>
      <c r="M12" s="25">
        <f t="shared" si="1"/>
        <v>927</v>
      </c>
      <c r="N12" s="85"/>
      <c r="O12" s="217">
        <v>66985</v>
      </c>
    </row>
    <row r="13" spans="1:15" ht="12.75" customHeight="1" x14ac:dyDescent="0.2">
      <c r="A13" s="220" t="s">
        <v>58</v>
      </c>
      <c r="B13" s="78" t="s">
        <v>12</v>
      </c>
      <c r="C13" s="69">
        <v>92310</v>
      </c>
      <c r="D13" s="70" t="s">
        <v>215</v>
      </c>
      <c r="E13" s="71">
        <v>4080</v>
      </c>
      <c r="F13" s="71">
        <v>2439</v>
      </c>
      <c r="G13" s="71">
        <v>4422</v>
      </c>
      <c r="H13" s="72"/>
      <c r="I13" s="72"/>
      <c r="J13" s="72"/>
      <c r="K13" s="72"/>
      <c r="L13" s="72">
        <f t="shared" si="2"/>
        <v>10941</v>
      </c>
      <c r="M13" s="72">
        <f t="shared" si="1"/>
        <v>1641</v>
      </c>
      <c r="N13" s="80"/>
      <c r="O13" s="216">
        <v>42222</v>
      </c>
    </row>
    <row r="14" spans="1:15" ht="12.75" customHeight="1" x14ac:dyDescent="0.2">
      <c r="A14" s="221" t="s">
        <v>79</v>
      </c>
      <c r="B14" s="6" t="s">
        <v>12</v>
      </c>
      <c r="C14" s="81">
        <v>96113</v>
      </c>
      <c r="D14" s="82" t="s">
        <v>216</v>
      </c>
      <c r="E14" s="83">
        <v>285</v>
      </c>
      <c r="F14" s="83">
        <v>241</v>
      </c>
      <c r="G14" s="83">
        <v>416</v>
      </c>
      <c r="H14" s="25"/>
      <c r="I14" s="25"/>
      <c r="J14" s="25"/>
      <c r="K14" s="25"/>
      <c r="L14" s="25">
        <f t="shared" si="2"/>
        <v>942</v>
      </c>
      <c r="M14" s="25">
        <f t="shared" si="1"/>
        <v>44</v>
      </c>
      <c r="N14" s="85"/>
      <c r="O14" s="217"/>
    </row>
    <row r="15" spans="1:15" ht="12.75" customHeight="1" x14ac:dyDescent="0.2">
      <c r="A15" s="220" t="s">
        <v>44</v>
      </c>
      <c r="B15" s="78" t="s">
        <v>13</v>
      </c>
      <c r="C15" s="69">
        <v>80913</v>
      </c>
      <c r="D15" s="70" t="s">
        <v>217</v>
      </c>
      <c r="E15" s="71">
        <v>26593</v>
      </c>
      <c r="F15" s="71">
        <v>16473</v>
      </c>
      <c r="G15" s="71">
        <v>26990</v>
      </c>
      <c r="H15" s="72">
        <v>56000</v>
      </c>
      <c r="I15" s="72">
        <v>5282</v>
      </c>
      <c r="J15" s="72">
        <v>2300</v>
      </c>
      <c r="K15" s="72"/>
      <c r="L15" s="72">
        <f t="shared" si="2"/>
        <v>133638</v>
      </c>
      <c r="M15" s="72">
        <f t="shared" si="1"/>
        <v>10120</v>
      </c>
      <c r="N15" s="86"/>
      <c r="O15" s="216">
        <v>538364</v>
      </c>
    </row>
    <row r="16" spans="1:15" ht="12.75" customHeight="1" x14ac:dyDescent="0.2">
      <c r="A16" s="221" t="s">
        <v>107</v>
      </c>
      <c r="B16" s="6" t="s">
        <v>14</v>
      </c>
      <c r="C16" s="81">
        <v>32830</v>
      </c>
      <c r="D16" s="82" t="s">
        <v>218</v>
      </c>
      <c r="E16" s="314" t="s">
        <v>327</v>
      </c>
      <c r="F16" s="314"/>
      <c r="G16" s="314"/>
      <c r="H16" s="25"/>
      <c r="I16" s="25"/>
      <c r="J16" s="25"/>
      <c r="K16" s="25"/>
      <c r="L16" s="25">
        <f t="shared" si="2"/>
        <v>0</v>
      </c>
      <c r="M16" s="25"/>
      <c r="O16" s="217"/>
    </row>
    <row r="17" spans="1:17" ht="12.75" customHeight="1" x14ac:dyDescent="0.2">
      <c r="A17" s="220" t="s">
        <v>220</v>
      </c>
      <c r="B17" s="78" t="s">
        <v>14</v>
      </c>
      <c r="C17" s="84">
        <v>33010</v>
      </c>
      <c r="D17" s="78" t="s">
        <v>219</v>
      </c>
      <c r="E17" s="79">
        <v>335</v>
      </c>
      <c r="F17" s="79">
        <v>225</v>
      </c>
      <c r="G17" s="79">
        <v>480</v>
      </c>
      <c r="H17" s="72"/>
      <c r="I17" s="72"/>
      <c r="J17" s="72"/>
      <c r="K17" s="72"/>
      <c r="L17" s="72">
        <f t="shared" si="2"/>
        <v>1040</v>
      </c>
      <c r="M17" s="72">
        <f t="shared" si="1"/>
        <v>110</v>
      </c>
      <c r="N17" s="80"/>
      <c r="O17" s="216">
        <v>13013</v>
      </c>
    </row>
    <row r="18" spans="1:17" ht="12.75" customHeight="1" x14ac:dyDescent="0.2">
      <c r="A18" s="201" t="s">
        <v>53</v>
      </c>
      <c r="B18" s="6" t="s">
        <v>15</v>
      </c>
      <c r="C18" s="81">
        <v>30905</v>
      </c>
      <c r="D18" s="82" t="s">
        <v>221</v>
      </c>
      <c r="E18" s="75">
        <v>9081</v>
      </c>
      <c r="F18" s="75">
        <v>4457</v>
      </c>
      <c r="G18" s="75">
        <v>8772</v>
      </c>
      <c r="H18" s="25">
        <v>12813</v>
      </c>
      <c r="I18" s="25">
        <v>9005</v>
      </c>
      <c r="J18" s="25">
        <v>3376</v>
      </c>
      <c r="K18" s="25">
        <v>5342</v>
      </c>
      <c r="L18" s="25">
        <f t="shared" si="2"/>
        <v>52846</v>
      </c>
      <c r="M18" s="25">
        <f t="shared" si="1"/>
        <v>4624</v>
      </c>
      <c r="O18" s="217">
        <f>17819+303694</f>
        <v>321513</v>
      </c>
    </row>
    <row r="19" spans="1:17" ht="12.75" customHeight="1" x14ac:dyDescent="0.2">
      <c r="A19" s="220" t="s">
        <v>198</v>
      </c>
      <c r="B19" s="78" t="s">
        <v>15</v>
      </c>
      <c r="C19" s="69">
        <v>31314</v>
      </c>
      <c r="D19" s="70" t="s">
        <v>222</v>
      </c>
      <c r="E19" s="71">
        <v>21372</v>
      </c>
      <c r="F19" s="71">
        <v>12354</v>
      </c>
      <c r="G19" s="71">
        <v>21437</v>
      </c>
      <c r="H19" s="72">
        <v>150</v>
      </c>
      <c r="I19" s="72">
        <v>350</v>
      </c>
      <c r="J19" s="72">
        <v>125</v>
      </c>
      <c r="K19" s="72">
        <v>8000</v>
      </c>
      <c r="L19" s="72">
        <f t="shared" si="2"/>
        <v>63788</v>
      </c>
      <c r="M19" s="72">
        <f t="shared" si="1"/>
        <v>9018</v>
      </c>
      <c r="N19" s="87"/>
      <c r="O19" s="216">
        <f>148923+453131</f>
        <v>602054</v>
      </c>
    </row>
    <row r="20" spans="1:17" ht="12.75" customHeight="1" x14ac:dyDescent="0.2">
      <c r="A20" s="201" t="s">
        <v>38</v>
      </c>
      <c r="B20" s="6" t="s">
        <v>15</v>
      </c>
      <c r="C20" s="81">
        <v>31905</v>
      </c>
      <c r="D20" s="82" t="s">
        <v>223</v>
      </c>
      <c r="E20" s="75">
        <v>21862</v>
      </c>
      <c r="F20" s="75">
        <v>9522</v>
      </c>
      <c r="G20" s="75">
        <v>17251</v>
      </c>
      <c r="H20" s="25"/>
      <c r="I20" s="25"/>
      <c r="J20" s="25"/>
      <c r="K20" s="25"/>
      <c r="L20" s="25">
        <f t="shared" si="2"/>
        <v>48635</v>
      </c>
      <c r="M20" s="25">
        <f t="shared" si="1"/>
        <v>12340</v>
      </c>
      <c r="O20" s="217">
        <v>497368</v>
      </c>
    </row>
    <row r="21" spans="1:17" ht="25.5" x14ac:dyDescent="0.2">
      <c r="A21" s="218" t="s">
        <v>96</v>
      </c>
      <c r="B21" s="78" t="s">
        <v>105</v>
      </c>
      <c r="C21" s="84" t="s">
        <v>132</v>
      </c>
      <c r="D21" s="78" t="s">
        <v>132</v>
      </c>
      <c r="E21" s="71">
        <v>3250</v>
      </c>
      <c r="F21" s="71">
        <v>1785</v>
      </c>
      <c r="G21" s="71">
        <v>2803</v>
      </c>
      <c r="H21" s="72">
        <v>527</v>
      </c>
      <c r="I21" s="72">
        <v>4248</v>
      </c>
      <c r="J21" s="72">
        <v>75</v>
      </c>
      <c r="K21" s="72">
        <v>0</v>
      </c>
      <c r="L21" s="72">
        <f t="shared" si="2"/>
        <v>12688</v>
      </c>
      <c r="M21" s="72">
        <f t="shared" si="1"/>
        <v>1465</v>
      </c>
      <c r="N21" s="80"/>
      <c r="O21" s="216"/>
    </row>
    <row r="22" spans="1:17" x14ac:dyDescent="0.2">
      <c r="A22" s="201" t="s">
        <v>93</v>
      </c>
      <c r="B22" s="6" t="s">
        <v>105</v>
      </c>
      <c r="C22" s="74" t="s">
        <v>132</v>
      </c>
      <c r="D22" s="6" t="s">
        <v>132</v>
      </c>
      <c r="E22" s="83">
        <v>648</v>
      </c>
      <c r="F22" s="83">
        <v>354</v>
      </c>
      <c r="G22" s="83">
        <v>633</v>
      </c>
      <c r="H22" s="25">
        <v>155</v>
      </c>
      <c r="I22" s="25">
        <v>294</v>
      </c>
      <c r="J22" s="25">
        <v>8</v>
      </c>
      <c r="K22" s="25">
        <v>0</v>
      </c>
      <c r="L22" s="25">
        <f t="shared" si="2"/>
        <v>2092</v>
      </c>
      <c r="M22" s="25">
        <f t="shared" si="1"/>
        <v>294</v>
      </c>
      <c r="O22" s="217"/>
    </row>
    <row r="23" spans="1:17" x14ac:dyDescent="0.2">
      <c r="A23" s="218" t="s">
        <v>118</v>
      </c>
      <c r="B23" s="78" t="s">
        <v>105</v>
      </c>
      <c r="C23" s="84" t="s">
        <v>132</v>
      </c>
      <c r="D23" s="78" t="s">
        <v>132</v>
      </c>
      <c r="E23" s="315" t="s">
        <v>328</v>
      </c>
      <c r="F23" s="315"/>
      <c r="G23" s="315"/>
      <c r="H23" s="72"/>
      <c r="I23" s="72"/>
      <c r="J23" s="72"/>
      <c r="K23" s="72"/>
      <c r="L23" s="72">
        <f t="shared" si="2"/>
        <v>0</v>
      </c>
      <c r="M23" s="72"/>
      <c r="O23" s="216"/>
    </row>
    <row r="24" spans="1:17" ht="13.9" customHeight="1" x14ac:dyDescent="0.2">
      <c r="A24" s="219" t="s">
        <v>98</v>
      </c>
      <c r="B24" s="6" t="s">
        <v>105</v>
      </c>
      <c r="C24" s="74" t="s">
        <v>132</v>
      </c>
      <c r="D24" s="6" t="s">
        <v>132</v>
      </c>
      <c r="E24" s="25">
        <v>291</v>
      </c>
      <c r="F24" s="25">
        <v>514</v>
      </c>
      <c r="G24" s="25" t="s">
        <v>267</v>
      </c>
      <c r="H24" s="25">
        <v>963</v>
      </c>
      <c r="I24" s="25" t="s">
        <v>267</v>
      </c>
      <c r="J24" s="25">
        <v>210</v>
      </c>
      <c r="K24" s="25"/>
      <c r="L24" s="25">
        <f t="shared" si="2"/>
        <v>1978</v>
      </c>
      <c r="M24" s="25">
        <f t="shared" si="1"/>
        <v>-223</v>
      </c>
      <c r="O24" s="217"/>
      <c r="P24" s="93">
        <v>303694</v>
      </c>
      <c r="Q24" s="93">
        <v>17819</v>
      </c>
    </row>
    <row r="25" spans="1:17" x14ac:dyDescent="0.2">
      <c r="A25" s="218" t="s">
        <v>99</v>
      </c>
      <c r="B25" s="78" t="s">
        <v>105</v>
      </c>
      <c r="C25" s="84" t="s">
        <v>132</v>
      </c>
      <c r="D25" s="78" t="s">
        <v>132</v>
      </c>
      <c r="E25" s="79">
        <v>138</v>
      </c>
      <c r="F25" s="79">
        <v>81</v>
      </c>
      <c r="G25" s="79">
        <v>124</v>
      </c>
      <c r="H25" s="72"/>
      <c r="I25" s="72"/>
      <c r="J25" s="72"/>
      <c r="K25" s="72"/>
      <c r="L25" s="72">
        <f t="shared" si="2"/>
        <v>343</v>
      </c>
      <c r="M25" s="72">
        <f t="shared" si="1"/>
        <v>57</v>
      </c>
      <c r="N25" s="80"/>
      <c r="O25" s="216"/>
    </row>
    <row r="26" spans="1:17" ht="31.5" customHeight="1" x14ac:dyDescent="0.2">
      <c r="A26" s="201" t="s">
        <v>268</v>
      </c>
      <c r="B26" s="6" t="s">
        <v>105</v>
      </c>
      <c r="C26" s="74" t="s">
        <v>132</v>
      </c>
      <c r="D26" s="6" t="s">
        <v>132</v>
      </c>
      <c r="E26" s="25">
        <v>20</v>
      </c>
      <c r="F26" s="25" t="s">
        <v>267</v>
      </c>
      <c r="G26" s="25" t="s">
        <v>267</v>
      </c>
      <c r="H26" s="25">
        <v>214</v>
      </c>
      <c r="I26" s="25" t="s">
        <v>267</v>
      </c>
      <c r="J26" s="25">
        <v>67</v>
      </c>
      <c r="K26" s="25"/>
      <c r="L26" s="25">
        <f t="shared" si="2"/>
        <v>301</v>
      </c>
      <c r="M26" s="25"/>
      <c r="O26" s="217"/>
    </row>
    <row r="27" spans="1:17" x14ac:dyDescent="0.2">
      <c r="A27" s="220" t="s">
        <v>94</v>
      </c>
      <c r="B27" s="78" t="s">
        <v>105</v>
      </c>
      <c r="C27" s="84" t="s">
        <v>132</v>
      </c>
      <c r="D27" s="78" t="s">
        <v>132</v>
      </c>
      <c r="E27" s="71">
        <v>2049</v>
      </c>
      <c r="F27" s="71">
        <v>1050</v>
      </c>
      <c r="G27" s="71">
        <v>1773</v>
      </c>
      <c r="H27" s="72"/>
      <c r="I27" s="72"/>
      <c r="J27" s="72"/>
      <c r="K27" s="72"/>
      <c r="L27" s="72">
        <f t="shared" si="2"/>
        <v>4872</v>
      </c>
      <c r="M27" s="72">
        <f t="shared" si="1"/>
        <v>999</v>
      </c>
      <c r="N27" s="80"/>
      <c r="O27" s="216"/>
    </row>
    <row r="28" spans="1:17" x14ac:dyDescent="0.2">
      <c r="A28" s="219" t="s">
        <v>97</v>
      </c>
      <c r="B28" s="6" t="s">
        <v>105</v>
      </c>
      <c r="C28" s="74" t="s">
        <v>132</v>
      </c>
      <c r="D28" s="6" t="s">
        <v>132</v>
      </c>
      <c r="E28" s="75">
        <v>1380</v>
      </c>
      <c r="F28" s="83">
        <v>794</v>
      </c>
      <c r="G28" s="75">
        <v>1355</v>
      </c>
      <c r="H28" s="25"/>
      <c r="I28" s="25"/>
      <c r="J28" s="25"/>
      <c r="K28" s="25"/>
      <c r="L28" s="25">
        <f t="shared" si="2"/>
        <v>3529</v>
      </c>
      <c r="M28" s="25">
        <f t="shared" si="1"/>
        <v>586</v>
      </c>
      <c r="O28" s="217"/>
    </row>
    <row r="29" spans="1:17" x14ac:dyDescent="0.2">
      <c r="A29" s="218" t="s">
        <v>224</v>
      </c>
      <c r="B29" s="78" t="s">
        <v>105</v>
      </c>
      <c r="C29" s="84" t="s">
        <v>132</v>
      </c>
      <c r="D29" s="78" t="s">
        <v>132</v>
      </c>
      <c r="E29" s="71">
        <v>1856</v>
      </c>
      <c r="F29" s="71">
        <v>1585</v>
      </c>
      <c r="G29" s="72" t="s">
        <v>267</v>
      </c>
      <c r="H29" s="72">
        <v>97</v>
      </c>
      <c r="I29" s="72">
        <v>358</v>
      </c>
      <c r="J29" s="72">
        <v>77</v>
      </c>
      <c r="K29" s="72"/>
      <c r="L29" s="72">
        <f t="shared" si="2"/>
        <v>3973</v>
      </c>
      <c r="M29" s="72">
        <f t="shared" si="1"/>
        <v>271</v>
      </c>
      <c r="N29" s="80"/>
      <c r="O29" s="216"/>
    </row>
    <row r="30" spans="1:17" x14ac:dyDescent="0.2">
      <c r="A30" s="219" t="s">
        <v>100</v>
      </c>
      <c r="B30" s="6" t="s">
        <v>105</v>
      </c>
      <c r="C30" s="74" t="s">
        <v>132</v>
      </c>
      <c r="D30" s="6" t="s">
        <v>132</v>
      </c>
      <c r="E30" s="83">
        <v>367</v>
      </c>
      <c r="F30" s="83">
        <v>281</v>
      </c>
      <c r="G30" s="83">
        <v>560</v>
      </c>
      <c r="H30" s="25"/>
      <c r="I30" s="25"/>
      <c r="J30" s="25"/>
      <c r="K30" s="25"/>
      <c r="L30" s="25">
        <f t="shared" si="2"/>
        <v>1208</v>
      </c>
      <c r="M30" s="25">
        <f t="shared" si="1"/>
        <v>86</v>
      </c>
      <c r="O30" s="217"/>
    </row>
    <row r="31" spans="1:17" x14ac:dyDescent="0.2">
      <c r="A31" s="218" t="s">
        <v>101</v>
      </c>
      <c r="B31" s="78" t="s">
        <v>105</v>
      </c>
      <c r="C31" s="84" t="s">
        <v>132</v>
      </c>
      <c r="D31" s="78" t="s">
        <v>132</v>
      </c>
      <c r="E31" s="71">
        <v>1860</v>
      </c>
      <c r="F31" s="71">
        <v>1038</v>
      </c>
      <c r="G31" s="71">
        <v>1825</v>
      </c>
      <c r="H31" s="72"/>
      <c r="I31" s="72"/>
      <c r="J31" s="72"/>
      <c r="K31" s="72"/>
      <c r="L31" s="72">
        <f t="shared" si="2"/>
        <v>4723</v>
      </c>
      <c r="M31" s="72">
        <f t="shared" si="1"/>
        <v>822</v>
      </c>
      <c r="N31" s="80"/>
      <c r="O31" s="216"/>
    </row>
    <row r="32" spans="1:17" ht="25.5" x14ac:dyDescent="0.2">
      <c r="A32" s="221" t="s">
        <v>226</v>
      </c>
      <c r="B32" s="6" t="s">
        <v>112</v>
      </c>
      <c r="C32" s="81">
        <v>96858</v>
      </c>
      <c r="D32" s="82" t="s">
        <v>225</v>
      </c>
      <c r="E32" s="75">
        <v>2687</v>
      </c>
      <c r="F32" s="75">
        <v>1706</v>
      </c>
      <c r="G32" s="75">
        <v>3653</v>
      </c>
      <c r="H32" s="25">
        <v>5306</v>
      </c>
      <c r="I32" s="25">
        <v>12614</v>
      </c>
      <c r="J32" s="25">
        <v>2224</v>
      </c>
      <c r="K32" s="25">
        <v>0</v>
      </c>
      <c r="L32" s="25">
        <f t="shared" si="2"/>
        <v>28190</v>
      </c>
      <c r="M32" s="25">
        <f t="shared" si="1"/>
        <v>981</v>
      </c>
      <c r="O32" s="217">
        <v>637094</v>
      </c>
    </row>
    <row r="33" spans="1:15" x14ac:dyDescent="0.2">
      <c r="A33" s="218" t="s">
        <v>227</v>
      </c>
      <c r="B33" s="78" t="s">
        <v>112</v>
      </c>
      <c r="C33" s="69">
        <v>96857</v>
      </c>
      <c r="D33" s="70" t="s">
        <v>225</v>
      </c>
      <c r="E33" s="71">
        <v>15688</v>
      </c>
      <c r="F33" s="71">
        <v>8572</v>
      </c>
      <c r="G33" s="71">
        <v>14135</v>
      </c>
      <c r="H33" s="72"/>
      <c r="I33" s="72"/>
      <c r="J33" s="72"/>
      <c r="K33" s="72"/>
      <c r="L33" s="72"/>
      <c r="M33" s="72">
        <f t="shared" si="1"/>
        <v>7116</v>
      </c>
      <c r="N33" s="80"/>
      <c r="O33" s="216"/>
    </row>
    <row r="34" spans="1:15" x14ac:dyDescent="0.2">
      <c r="A34" s="222" t="s">
        <v>106</v>
      </c>
      <c r="B34" s="6" t="s">
        <v>112</v>
      </c>
      <c r="C34" s="74">
        <v>96852</v>
      </c>
      <c r="D34" s="82" t="s">
        <v>225</v>
      </c>
      <c r="E34" s="314" t="s">
        <v>329</v>
      </c>
      <c r="F34" s="314"/>
      <c r="G34" s="314"/>
      <c r="H34" s="25"/>
      <c r="I34" s="25"/>
      <c r="J34" s="25"/>
      <c r="K34" s="25"/>
      <c r="L34" s="25">
        <f t="shared" si="2"/>
        <v>0</v>
      </c>
      <c r="M34" s="25"/>
      <c r="O34" s="217"/>
    </row>
    <row r="35" spans="1:15" x14ac:dyDescent="0.2">
      <c r="A35" s="220" t="s">
        <v>76</v>
      </c>
      <c r="B35" s="78" t="s">
        <v>16</v>
      </c>
      <c r="C35" s="69">
        <v>61201</v>
      </c>
      <c r="D35" s="70" t="s">
        <v>228</v>
      </c>
      <c r="E35" s="79">
        <v>401</v>
      </c>
      <c r="F35" s="79">
        <v>302</v>
      </c>
      <c r="G35" s="79">
        <v>683</v>
      </c>
      <c r="H35" s="72"/>
      <c r="I35" s="72"/>
      <c r="J35" s="72"/>
      <c r="K35" s="72"/>
      <c r="L35" s="72">
        <v>109898</v>
      </c>
      <c r="M35" s="72">
        <f t="shared" si="1"/>
        <v>99</v>
      </c>
      <c r="N35" s="87"/>
      <c r="O35" s="216">
        <v>65370</v>
      </c>
    </row>
    <row r="36" spans="1:15" x14ac:dyDescent="0.2">
      <c r="A36" s="219" t="s">
        <v>102</v>
      </c>
      <c r="B36" s="6" t="s">
        <v>108</v>
      </c>
      <c r="C36" s="74" t="s">
        <v>132</v>
      </c>
      <c r="D36" s="6" t="s">
        <v>132</v>
      </c>
      <c r="E36" s="75">
        <v>3972</v>
      </c>
      <c r="F36" s="75">
        <v>2056</v>
      </c>
      <c r="G36" s="75">
        <v>3295</v>
      </c>
      <c r="H36" s="25">
        <v>0</v>
      </c>
      <c r="I36" s="25">
        <v>646</v>
      </c>
      <c r="J36" s="25">
        <v>0</v>
      </c>
      <c r="K36" s="25"/>
      <c r="L36" s="25">
        <f>SUM(E36:K36)</f>
        <v>9969</v>
      </c>
      <c r="M36" s="25">
        <f t="shared" si="1"/>
        <v>1916</v>
      </c>
      <c r="O36" s="217"/>
    </row>
    <row r="37" spans="1:15" x14ac:dyDescent="0.2">
      <c r="A37" s="218" t="s">
        <v>229</v>
      </c>
      <c r="B37" s="78" t="s">
        <v>110</v>
      </c>
      <c r="C37" s="84" t="s">
        <v>132</v>
      </c>
      <c r="D37" s="78" t="s">
        <v>132</v>
      </c>
      <c r="E37" s="71">
        <f>2256-E38</f>
        <v>1820</v>
      </c>
      <c r="F37" s="71">
        <f>1231-F38</f>
        <v>972</v>
      </c>
      <c r="G37" s="71">
        <f>2264-G38</f>
        <v>1807</v>
      </c>
      <c r="H37" s="72"/>
      <c r="I37" s="72"/>
      <c r="J37" s="72"/>
      <c r="K37" s="72"/>
      <c r="L37" s="72">
        <f>SUM(E37:K37)</f>
        <v>4599</v>
      </c>
      <c r="M37" s="72">
        <f t="shared" si="1"/>
        <v>848</v>
      </c>
      <c r="N37" s="80"/>
      <c r="O37" s="216"/>
    </row>
    <row r="38" spans="1:15" x14ac:dyDescent="0.2">
      <c r="A38" s="219" t="s">
        <v>122</v>
      </c>
      <c r="B38" s="6" t="s">
        <v>110</v>
      </c>
      <c r="C38" s="74" t="s">
        <v>132</v>
      </c>
      <c r="D38" s="6" t="s">
        <v>132</v>
      </c>
      <c r="E38" s="83">
        <v>436</v>
      </c>
      <c r="F38" s="83">
        <v>259</v>
      </c>
      <c r="G38" s="83">
        <v>457</v>
      </c>
      <c r="H38" s="25"/>
      <c r="I38" s="25"/>
      <c r="J38" s="25"/>
      <c r="K38" s="25"/>
      <c r="L38" s="25">
        <f>SUM(E38:K38)</f>
        <v>1152</v>
      </c>
      <c r="M38" s="25">
        <f t="shared" si="1"/>
        <v>177</v>
      </c>
      <c r="O38" s="217"/>
    </row>
    <row r="39" spans="1:15" x14ac:dyDescent="0.2">
      <c r="A39" s="220" t="s">
        <v>75</v>
      </c>
      <c r="B39" s="78" t="s">
        <v>17</v>
      </c>
      <c r="C39" s="69">
        <v>66442</v>
      </c>
      <c r="D39" s="70" t="s">
        <v>230</v>
      </c>
      <c r="E39" s="71">
        <v>17930</v>
      </c>
      <c r="F39" s="71">
        <v>9920</v>
      </c>
      <c r="G39" s="71">
        <v>16634</v>
      </c>
      <c r="H39" s="72">
        <v>3000</v>
      </c>
      <c r="I39" s="72">
        <v>8000</v>
      </c>
      <c r="J39" s="72" t="s">
        <v>167</v>
      </c>
      <c r="K39" s="72"/>
      <c r="L39" s="72">
        <f>SUM(E39:K39)</f>
        <v>55484</v>
      </c>
      <c r="M39" s="72">
        <f t="shared" si="1"/>
        <v>8010</v>
      </c>
      <c r="N39" s="88"/>
      <c r="O39" s="216">
        <v>259663</v>
      </c>
    </row>
    <row r="40" spans="1:15" x14ac:dyDescent="0.2">
      <c r="A40" s="201" t="s">
        <v>169</v>
      </c>
      <c r="B40" s="6" t="s">
        <v>17</v>
      </c>
      <c r="C40" s="81">
        <v>66027</v>
      </c>
      <c r="D40" s="82" t="s">
        <v>231</v>
      </c>
      <c r="E40" s="75">
        <v>4230</v>
      </c>
      <c r="F40" s="75">
        <v>2891</v>
      </c>
      <c r="G40" s="75">
        <v>6140</v>
      </c>
      <c r="H40" s="25"/>
      <c r="I40" s="25"/>
      <c r="J40" s="25"/>
      <c r="K40" s="25"/>
      <c r="L40" s="25"/>
      <c r="M40" s="25">
        <f t="shared" si="1"/>
        <v>1339</v>
      </c>
      <c r="O40" s="217">
        <v>299614</v>
      </c>
    </row>
    <row r="41" spans="1:15" x14ac:dyDescent="0.2">
      <c r="A41" s="220" t="s">
        <v>114</v>
      </c>
      <c r="B41" s="78" t="s">
        <v>18</v>
      </c>
      <c r="C41" s="69">
        <v>42223</v>
      </c>
      <c r="D41" s="70" t="s">
        <v>232</v>
      </c>
      <c r="E41" s="71">
        <v>29755</v>
      </c>
      <c r="F41" s="71">
        <v>17574</v>
      </c>
      <c r="G41" s="71">
        <v>29896</v>
      </c>
      <c r="H41" s="72">
        <v>65727</v>
      </c>
      <c r="I41" s="72">
        <v>5900</v>
      </c>
      <c r="J41" s="72">
        <v>0</v>
      </c>
      <c r="K41" s="72">
        <v>0</v>
      </c>
      <c r="L41" s="72">
        <f t="shared" ref="L41:L85" si="3">SUM(E41:K41)</f>
        <v>148852</v>
      </c>
      <c r="M41" s="72">
        <f t="shared" si="1"/>
        <v>12181</v>
      </c>
      <c r="N41" s="80"/>
      <c r="O41" s="216">
        <v>498599</v>
      </c>
    </row>
    <row r="42" spans="1:15" x14ac:dyDescent="0.2">
      <c r="A42" s="201" t="s">
        <v>40</v>
      </c>
      <c r="B42" s="6" t="s">
        <v>18</v>
      </c>
      <c r="C42" s="81">
        <v>40475</v>
      </c>
      <c r="D42" s="82" t="s">
        <v>233</v>
      </c>
      <c r="E42" s="83">
        <v>410</v>
      </c>
      <c r="F42" s="83">
        <v>307</v>
      </c>
      <c r="G42" s="83">
        <v>721</v>
      </c>
      <c r="H42" s="25"/>
      <c r="I42" s="25"/>
      <c r="J42" s="25"/>
      <c r="K42" s="25"/>
      <c r="L42" s="25">
        <f t="shared" si="3"/>
        <v>1438</v>
      </c>
      <c r="M42" s="25">
        <f t="shared" si="1"/>
        <v>103</v>
      </c>
      <c r="O42" s="217"/>
    </row>
    <row r="43" spans="1:15" x14ac:dyDescent="0.2">
      <c r="A43" s="220" t="s">
        <v>60</v>
      </c>
      <c r="B43" s="78" t="s">
        <v>18</v>
      </c>
      <c r="C43" s="69">
        <v>40121</v>
      </c>
      <c r="D43" s="70" t="s">
        <v>234</v>
      </c>
      <c r="E43" s="71">
        <v>5414</v>
      </c>
      <c r="F43" s="71">
        <v>2957</v>
      </c>
      <c r="G43" s="71">
        <v>5747</v>
      </c>
      <c r="H43" s="72"/>
      <c r="I43" s="72"/>
      <c r="J43" s="72"/>
      <c r="K43" s="72"/>
      <c r="L43" s="72">
        <f t="shared" si="3"/>
        <v>14118</v>
      </c>
      <c r="M43" s="72">
        <f t="shared" si="1"/>
        <v>2457</v>
      </c>
      <c r="N43" s="80"/>
      <c r="O43" s="216">
        <v>247575</v>
      </c>
    </row>
    <row r="44" spans="1:15" x14ac:dyDescent="0.2">
      <c r="A44" s="201" t="s">
        <v>72</v>
      </c>
      <c r="B44" s="6" t="s">
        <v>19</v>
      </c>
      <c r="C44" s="74">
        <v>71459</v>
      </c>
      <c r="D44" s="6" t="s">
        <v>235</v>
      </c>
      <c r="E44" s="75">
        <v>7561</v>
      </c>
      <c r="F44" s="75">
        <v>4212</v>
      </c>
      <c r="G44" s="75">
        <v>7966</v>
      </c>
      <c r="H44" s="25">
        <v>15564</v>
      </c>
      <c r="I44" s="25">
        <v>6628</v>
      </c>
      <c r="J44" s="25">
        <v>503</v>
      </c>
      <c r="K44" s="25">
        <v>3487</v>
      </c>
      <c r="L44" s="25">
        <f t="shared" si="3"/>
        <v>45921</v>
      </c>
      <c r="M44" s="25">
        <f t="shared" si="1"/>
        <v>3349</v>
      </c>
      <c r="N44" s="85"/>
      <c r="O44" s="217">
        <v>148203</v>
      </c>
    </row>
    <row r="45" spans="1:15" x14ac:dyDescent="0.2">
      <c r="A45" s="220" t="s">
        <v>64</v>
      </c>
      <c r="B45" s="78" t="s">
        <v>32</v>
      </c>
      <c r="C45" s="69">
        <v>20755</v>
      </c>
      <c r="D45" s="70" t="s">
        <v>236</v>
      </c>
      <c r="E45" s="71">
        <v>4065</v>
      </c>
      <c r="F45" s="71">
        <v>2423</v>
      </c>
      <c r="G45" s="71">
        <v>4659</v>
      </c>
      <c r="H45" s="72">
        <v>40108</v>
      </c>
      <c r="I45" s="72">
        <v>26335</v>
      </c>
      <c r="J45" s="72">
        <v>3827</v>
      </c>
      <c r="K45" s="72">
        <v>0</v>
      </c>
      <c r="L45" s="72">
        <f t="shared" si="3"/>
        <v>81417</v>
      </c>
      <c r="M45" s="72">
        <f t="shared" si="1"/>
        <v>1642</v>
      </c>
      <c r="N45" s="80"/>
      <c r="O45" s="216">
        <v>529373</v>
      </c>
    </row>
    <row r="46" spans="1:15" x14ac:dyDescent="0.2">
      <c r="A46" s="201" t="s">
        <v>50</v>
      </c>
      <c r="B46" s="6" t="s">
        <v>32</v>
      </c>
      <c r="C46" s="82">
        <v>21702</v>
      </c>
      <c r="D46" s="82" t="s">
        <v>237</v>
      </c>
      <c r="E46" s="83">
        <v>833</v>
      </c>
      <c r="F46" s="83">
        <v>553</v>
      </c>
      <c r="G46" s="75">
        <v>1117</v>
      </c>
      <c r="H46" s="25">
        <v>5027</v>
      </c>
      <c r="I46" s="25">
        <v>7366</v>
      </c>
      <c r="J46" s="25">
        <v>416</v>
      </c>
      <c r="K46" s="25">
        <v>0</v>
      </c>
      <c r="L46" s="25">
        <f t="shared" si="3"/>
        <v>15312</v>
      </c>
      <c r="M46" s="25">
        <f t="shared" si="1"/>
        <v>280</v>
      </c>
      <c r="N46" s="89"/>
      <c r="O46" s="217">
        <v>65641</v>
      </c>
    </row>
    <row r="47" spans="1:15" x14ac:dyDescent="0.2">
      <c r="A47" s="218" t="s">
        <v>46</v>
      </c>
      <c r="B47" s="78" t="s">
        <v>32</v>
      </c>
      <c r="C47" s="70">
        <v>21005</v>
      </c>
      <c r="D47" s="70" t="s">
        <v>236</v>
      </c>
      <c r="E47" s="71">
        <v>1028</v>
      </c>
      <c r="F47" s="79">
        <v>695</v>
      </c>
      <c r="G47" s="71">
        <v>1521</v>
      </c>
      <c r="H47" s="72"/>
      <c r="I47" s="72"/>
      <c r="J47" s="72"/>
      <c r="K47" s="72"/>
      <c r="L47" s="72">
        <f t="shared" si="3"/>
        <v>3244</v>
      </c>
      <c r="M47" s="72">
        <f t="shared" si="1"/>
        <v>333</v>
      </c>
      <c r="N47" s="80"/>
      <c r="O47" s="216">
        <v>252720</v>
      </c>
    </row>
    <row r="48" spans="1:15" x14ac:dyDescent="0.2">
      <c r="A48" s="201" t="s">
        <v>69</v>
      </c>
      <c r="B48" s="6" t="s">
        <v>33</v>
      </c>
      <c r="C48" s="82">
        <v>1760</v>
      </c>
      <c r="D48" s="82" t="s">
        <v>238</v>
      </c>
      <c r="E48" s="83">
        <v>309</v>
      </c>
      <c r="F48" s="83">
        <v>228</v>
      </c>
      <c r="G48" s="83">
        <v>422</v>
      </c>
      <c r="H48" s="25"/>
      <c r="I48" s="25"/>
      <c r="J48" s="25"/>
      <c r="K48" s="25"/>
      <c r="L48" s="25">
        <f t="shared" si="3"/>
        <v>959</v>
      </c>
      <c r="M48" s="25">
        <f t="shared" si="1"/>
        <v>81</v>
      </c>
      <c r="O48" s="217">
        <v>17535</v>
      </c>
    </row>
    <row r="49" spans="1:16" x14ac:dyDescent="0.2">
      <c r="A49" s="220" t="s">
        <v>45</v>
      </c>
      <c r="B49" s="78" t="s">
        <v>20</v>
      </c>
      <c r="C49" s="70">
        <v>48092</v>
      </c>
      <c r="D49" s="70" t="s">
        <v>239</v>
      </c>
      <c r="E49" s="79">
        <v>171</v>
      </c>
      <c r="F49" s="79">
        <v>138</v>
      </c>
      <c r="G49" s="79">
        <v>308</v>
      </c>
      <c r="H49" s="72"/>
      <c r="I49" s="72"/>
      <c r="J49" s="72"/>
      <c r="K49" s="72"/>
      <c r="L49" s="72">
        <f t="shared" si="3"/>
        <v>617</v>
      </c>
      <c r="M49" s="72">
        <f t="shared" si="1"/>
        <v>33</v>
      </c>
      <c r="N49" s="90"/>
      <c r="O49" s="216">
        <v>64708</v>
      </c>
    </row>
    <row r="50" spans="1:16" x14ac:dyDescent="0.2">
      <c r="A50" s="201" t="s">
        <v>84</v>
      </c>
      <c r="B50" s="6" t="s">
        <v>20</v>
      </c>
      <c r="C50" s="82">
        <v>49307</v>
      </c>
      <c r="D50" s="6"/>
      <c r="E50" s="83">
        <v>326</v>
      </c>
      <c r="F50" s="83">
        <v>269</v>
      </c>
      <c r="G50" s="83">
        <v>491</v>
      </c>
      <c r="H50" s="25"/>
      <c r="I50" s="25"/>
      <c r="J50" s="25"/>
      <c r="K50" s="25"/>
      <c r="L50" s="25">
        <f t="shared" si="3"/>
        <v>1086</v>
      </c>
      <c r="M50" s="25">
        <f t="shared" si="1"/>
        <v>57</v>
      </c>
      <c r="O50" s="217"/>
    </row>
    <row r="51" spans="1:16" x14ac:dyDescent="0.2">
      <c r="A51" s="220" t="s">
        <v>62</v>
      </c>
      <c r="B51" s="78" t="s">
        <v>21</v>
      </c>
      <c r="C51" s="70">
        <v>65473</v>
      </c>
      <c r="D51" s="70" t="s">
        <v>240</v>
      </c>
      <c r="E51" s="71">
        <v>8490</v>
      </c>
      <c r="F51" s="71">
        <v>4006</v>
      </c>
      <c r="G51" s="71">
        <v>8229</v>
      </c>
      <c r="H51" s="72"/>
      <c r="I51" s="72"/>
      <c r="J51" s="72"/>
      <c r="K51" s="72"/>
      <c r="L51" s="72">
        <f t="shared" si="3"/>
        <v>20725</v>
      </c>
      <c r="M51" s="72">
        <f t="shared" si="1"/>
        <v>4484</v>
      </c>
      <c r="N51" s="80"/>
      <c r="O51" s="216">
        <v>193169</v>
      </c>
    </row>
    <row r="52" spans="1:16" x14ac:dyDescent="0.2">
      <c r="A52" s="201" t="s">
        <v>70</v>
      </c>
      <c r="B52" s="6" t="s">
        <v>119</v>
      </c>
      <c r="C52" s="74">
        <v>7806</v>
      </c>
      <c r="D52" s="82" t="s">
        <v>241</v>
      </c>
      <c r="E52" s="83">
        <v>117</v>
      </c>
      <c r="F52" s="83">
        <v>91</v>
      </c>
      <c r="G52" s="83">
        <v>178</v>
      </c>
      <c r="H52" s="25"/>
      <c r="I52" s="25"/>
      <c r="J52" s="25"/>
      <c r="K52" s="25"/>
      <c r="L52" s="25">
        <f t="shared" si="3"/>
        <v>386</v>
      </c>
      <c r="M52" s="25">
        <f t="shared" si="1"/>
        <v>26</v>
      </c>
      <c r="N52" s="85"/>
      <c r="O52" s="217">
        <v>89781</v>
      </c>
    </row>
    <row r="53" spans="1:16" x14ac:dyDescent="0.2">
      <c r="A53" s="220" t="s">
        <v>120</v>
      </c>
      <c r="B53" s="78" t="s">
        <v>22</v>
      </c>
      <c r="C53" s="70">
        <v>88002</v>
      </c>
      <c r="D53" s="70" t="s">
        <v>242</v>
      </c>
      <c r="E53" s="79">
        <v>514</v>
      </c>
      <c r="F53" s="79">
        <v>333</v>
      </c>
      <c r="G53" s="79">
        <v>551</v>
      </c>
      <c r="H53" s="72"/>
      <c r="I53" s="72"/>
      <c r="J53" s="72"/>
      <c r="K53" s="72"/>
      <c r="L53" s="72">
        <f t="shared" si="3"/>
        <v>1398</v>
      </c>
      <c r="M53" s="72">
        <f t="shared" si="1"/>
        <v>181</v>
      </c>
      <c r="N53" s="80"/>
      <c r="O53" s="216"/>
    </row>
    <row r="54" spans="1:16" x14ac:dyDescent="0.2">
      <c r="A54" s="201" t="s">
        <v>51</v>
      </c>
      <c r="B54" s="6" t="s">
        <v>23</v>
      </c>
      <c r="C54" s="82">
        <v>13602</v>
      </c>
      <c r="D54" s="82" t="s">
        <v>243</v>
      </c>
      <c r="E54" s="75">
        <v>16882</v>
      </c>
      <c r="F54" s="75">
        <v>9152</v>
      </c>
      <c r="G54" s="75">
        <v>14722</v>
      </c>
      <c r="H54" s="25">
        <v>39000</v>
      </c>
      <c r="I54" s="25">
        <v>3895</v>
      </c>
      <c r="J54" s="25">
        <v>14501</v>
      </c>
      <c r="K54" s="25"/>
      <c r="L54" s="25">
        <f t="shared" si="3"/>
        <v>98152</v>
      </c>
      <c r="M54" s="25">
        <f t="shared" si="1"/>
        <v>7730</v>
      </c>
      <c r="O54" s="217">
        <v>253388</v>
      </c>
    </row>
    <row r="55" spans="1:16" x14ac:dyDescent="0.2">
      <c r="A55" s="220" t="s">
        <v>54</v>
      </c>
      <c r="B55" s="78" t="s">
        <v>23</v>
      </c>
      <c r="C55" s="70">
        <v>11252</v>
      </c>
      <c r="D55" s="70" t="s">
        <v>23</v>
      </c>
      <c r="E55" s="79">
        <v>171</v>
      </c>
      <c r="F55" s="79">
        <v>122</v>
      </c>
      <c r="G55" s="79">
        <v>236</v>
      </c>
      <c r="H55" s="72"/>
      <c r="I55" s="72"/>
      <c r="J55" s="72"/>
      <c r="K55" s="72"/>
      <c r="L55" s="72">
        <f t="shared" si="3"/>
        <v>529</v>
      </c>
      <c r="M55" s="72">
        <f t="shared" si="1"/>
        <v>49</v>
      </c>
      <c r="N55" s="80"/>
      <c r="O55" s="216">
        <v>48807</v>
      </c>
    </row>
    <row r="56" spans="1:16" x14ac:dyDescent="0.2">
      <c r="A56" s="221" t="s">
        <v>164</v>
      </c>
      <c r="B56" s="10" t="s">
        <v>23</v>
      </c>
      <c r="C56" s="82">
        <v>12189</v>
      </c>
      <c r="D56" s="82" t="s">
        <v>244</v>
      </c>
      <c r="E56" s="83">
        <v>36</v>
      </c>
      <c r="F56" s="83">
        <v>29</v>
      </c>
      <c r="G56" s="83">
        <v>48</v>
      </c>
      <c r="H56" s="25"/>
      <c r="I56" s="25"/>
      <c r="J56" s="25"/>
      <c r="K56" s="25"/>
      <c r="L56" s="25">
        <f t="shared" si="3"/>
        <v>113</v>
      </c>
      <c r="M56" s="25">
        <f t="shared" si="1"/>
        <v>7</v>
      </c>
      <c r="N56" s="85"/>
      <c r="O56" s="223"/>
      <c r="P56" s="8"/>
    </row>
    <row r="57" spans="1:16" x14ac:dyDescent="0.2">
      <c r="A57" s="218" t="s">
        <v>82</v>
      </c>
      <c r="B57" s="78" t="s">
        <v>23</v>
      </c>
      <c r="C57" s="70">
        <v>10996</v>
      </c>
      <c r="D57" s="70" t="s">
        <v>23</v>
      </c>
      <c r="E57" s="71">
        <v>1531</v>
      </c>
      <c r="F57" s="79">
        <v>971</v>
      </c>
      <c r="G57" s="71">
        <v>2001</v>
      </c>
      <c r="H57" s="72"/>
      <c r="I57" s="72"/>
      <c r="J57" s="72"/>
      <c r="K57" s="72"/>
      <c r="L57" s="72">
        <f t="shared" si="3"/>
        <v>4503</v>
      </c>
      <c r="M57" s="72">
        <f t="shared" si="1"/>
        <v>560</v>
      </c>
      <c r="N57" s="86"/>
      <c r="O57" s="216">
        <v>88602</v>
      </c>
    </row>
    <row r="58" spans="1:16" x14ac:dyDescent="0.2">
      <c r="A58" s="201" t="s">
        <v>41</v>
      </c>
      <c r="B58" s="6" t="s">
        <v>24</v>
      </c>
      <c r="C58" s="82">
        <v>28307</v>
      </c>
      <c r="D58" s="82" t="s">
        <v>383</v>
      </c>
      <c r="E58" s="75">
        <v>46056</v>
      </c>
      <c r="F58" s="75">
        <v>26123</v>
      </c>
      <c r="G58" s="75">
        <v>45826</v>
      </c>
      <c r="H58" s="25">
        <v>101413</v>
      </c>
      <c r="I58" s="25">
        <v>14380</v>
      </c>
      <c r="J58" s="25">
        <f>6763/2</f>
        <v>3381.5</v>
      </c>
      <c r="K58" s="25">
        <f>6763/2</f>
        <v>3381.5</v>
      </c>
      <c r="L58" s="25">
        <f t="shared" si="3"/>
        <v>240561</v>
      </c>
      <c r="M58" s="25">
        <f t="shared" si="1"/>
        <v>19933</v>
      </c>
      <c r="O58" s="217">
        <v>1071353</v>
      </c>
    </row>
    <row r="59" spans="1:16" x14ac:dyDescent="0.2">
      <c r="A59" s="220" t="s">
        <v>85</v>
      </c>
      <c r="B59" s="78" t="s">
        <v>25</v>
      </c>
      <c r="C59" s="70">
        <v>43216</v>
      </c>
      <c r="D59" s="70" t="s">
        <v>245</v>
      </c>
      <c r="E59" s="79">
        <v>121</v>
      </c>
      <c r="F59" s="79">
        <v>101</v>
      </c>
      <c r="G59" s="79">
        <v>212</v>
      </c>
      <c r="H59" s="72"/>
      <c r="I59" s="72"/>
      <c r="J59" s="72"/>
      <c r="K59" s="72"/>
      <c r="L59" s="72">
        <f t="shared" si="3"/>
        <v>434</v>
      </c>
      <c r="M59" s="72">
        <f t="shared" si="1"/>
        <v>20</v>
      </c>
      <c r="N59" s="80"/>
      <c r="O59" s="216"/>
    </row>
    <row r="60" spans="1:16" x14ac:dyDescent="0.2">
      <c r="A60" s="221" t="s">
        <v>78</v>
      </c>
      <c r="B60" s="6" t="s">
        <v>26</v>
      </c>
      <c r="C60" s="82">
        <v>73503</v>
      </c>
      <c r="D60" s="82" t="s">
        <v>246</v>
      </c>
      <c r="E60" s="75">
        <v>10767</v>
      </c>
      <c r="F60" s="75">
        <v>4822</v>
      </c>
      <c r="G60" s="75">
        <v>9356</v>
      </c>
      <c r="H60" s="25">
        <v>26800</v>
      </c>
      <c r="I60" s="25">
        <v>3600</v>
      </c>
      <c r="J60" s="25">
        <v>930</v>
      </c>
      <c r="K60" s="25">
        <v>5100</v>
      </c>
      <c r="L60" s="25">
        <f t="shared" si="3"/>
        <v>61375</v>
      </c>
      <c r="M60" s="25">
        <f t="shared" si="1"/>
        <v>5945</v>
      </c>
      <c r="N60" s="76"/>
      <c r="O60" s="217">
        <v>264865</v>
      </c>
    </row>
    <row r="61" spans="1:16" x14ac:dyDescent="0.2">
      <c r="A61" s="220" t="s">
        <v>65</v>
      </c>
      <c r="B61" s="78" t="s">
        <v>26</v>
      </c>
      <c r="C61" s="70">
        <v>74501</v>
      </c>
      <c r="D61" s="70" t="s">
        <v>247</v>
      </c>
      <c r="E61" s="79">
        <v>192</v>
      </c>
      <c r="F61" s="79">
        <v>146</v>
      </c>
      <c r="G61" s="79">
        <v>348</v>
      </c>
      <c r="H61" s="72">
        <v>3625</v>
      </c>
      <c r="I61" s="72">
        <v>1765</v>
      </c>
      <c r="J61" s="72">
        <v>2500</v>
      </c>
      <c r="K61" s="72">
        <v>675</v>
      </c>
      <c r="L61" s="72">
        <f t="shared" si="3"/>
        <v>9251</v>
      </c>
      <c r="M61" s="72">
        <f t="shared" si="1"/>
        <v>46</v>
      </c>
      <c r="N61" s="80"/>
      <c r="O61" s="216"/>
    </row>
    <row r="62" spans="1:16" ht="25.5" x14ac:dyDescent="0.2">
      <c r="A62" s="201" t="s">
        <v>121</v>
      </c>
      <c r="B62" s="6" t="s">
        <v>27</v>
      </c>
      <c r="C62" s="82">
        <v>17013</v>
      </c>
      <c r="D62" s="82" t="s">
        <v>248</v>
      </c>
      <c r="E62" s="83">
        <v>456</v>
      </c>
      <c r="F62" s="83">
        <v>392</v>
      </c>
      <c r="G62" s="83">
        <v>846</v>
      </c>
      <c r="H62" s="25"/>
      <c r="I62" s="25"/>
      <c r="J62" s="25"/>
      <c r="K62" s="25"/>
      <c r="L62" s="25">
        <f t="shared" si="3"/>
        <v>1694</v>
      </c>
      <c r="M62" s="25">
        <f t="shared" si="1"/>
        <v>64</v>
      </c>
      <c r="O62" s="217">
        <v>44387</v>
      </c>
    </row>
    <row r="63" spans="1:16" x14ac:dyDescent="0.2">
      <c r="A63" s="218" t="s">
        <v>87</v>
      </c>
      <c r="B63" s="78" t="s">
        <v>27</v>
      </c>
      <c r="C63" s="70">
        <v>17070</v>
      </c>
      <c r="D63" s="70" t="s">
        <v>248</v>
      </c>
      <c r="E63" s="79">
        <v>175</v>
      </c>
      <c r="F63" s="79">
        <v>2</v>
      </c>
      <c r="G63" s="79">
        <v>267</v>
      </c>
      <c r="H63" s="72"/>
      <c r="I63" s="72"/>
      <c r="J63" s="72"/>
      <c r="K63" s="72"/>
      <c r="L63" s="72">
        <f t="shared" si="3"/>
        <v>444</v>
      </c>
      <c r="M63" s="72">
        <f t="shared" si="1"/>
        <v>173</v>
      </c>
      <c r="N63" s="80"/>
      <c r="O63" s="216"/>
    </row>
    <row r="64" spans="1:16" x14ac:dyDescent="0.2">
      <c r="A64" s="201" t="s">
        <v>80</v>
      </c>
      <c r="B64" s="6" t="s">
        <v>27</v>
      </c>
      <c r="C64" s="82">
        <v>18466</v>
      </c>
      <c r="D64" s="82" t="s">
        <v>249</v>
      </c>
      <c r="E64" s="83">
        <v>537</v>
      </c>
      <c r="F64" s="83">
        <v>3</v>
      </c>
      <c r="G64" s="83">
        <v>801</v>
      </c>
      <c r="H64" s="25"/>
      <c r="I64" s="25"/>
      <c r="J64" s="25"/>
      <c r="K64" s="25"/>
      <c r="L64" s="25">
        <f t="shared" si="3"/>
        <v>1341</v>
      </c>
      <c r="M64" s="25">
        <f t="shared" si="1"/>
        <v>534</v>
      </c>
      <c r="N64" s="85"/>
      <c r="O64" s="217"/>
    </row>
    <row r="65" spans="1:15" x14ac:dyDescent="0.2">
      <c r="A65" s="220" t="s">
        <v>42</v>
      </c>
      <c r="B65" s="78" t="s">
        <v>43</v>
      </c>
      <c r="C65" s="70">
        <v>934</v>
      </c>
      <c r="D65" s="70" t="s">
        <v>250</v>
      </c>
      <c r="E65" s="79">
        <v>171</v>
      </c>
      <c r="F65" s="79">
        <v>3</v>
      </c>
      <c r="G65" s="79">
        <v>255</v>
      </c>
      <c r="H65" s="72"/>
      <c r="I65" s="72"/>
      <c r="J65" s="72"/>
      <c r="K65" s="72"/>
      <c r="L65" s="72">
        <f t="shared" si="3"/>
        <v>429</v>
      </c>
      <c r="M65" s="72">
        <f t="shared" si="1"/>
        <v>168</v>
      </c>
      <c r="N65" s="80"/>
      <c r="O65" s="216"/>
    </row>
    <row r="66" spans="1:15" ht="12.6" customHeight="1" x14ac:dyDescent="0.2">
      <c r="A66" s="201" t="s">
        <v>59</v>
      </c>
      <c r="B66" s="6" t="s">
        <v>168</v>
      </c>
      <c r="C66" s="82">
        <v>29207</v>
      </c>
      <c r="D66" s="82" t="s">
        <v>251</v>
      </c>
      <c r="E66" s="75">
        <v>6352</v>
      </c>
      <c r="F66" s="83">
        <v>67</v>
      </c>
      <c r="G66" s="75">
        <v>9552</v>
      </c>
      <c r="H66" s="25"/>
      <c r="I66" s="25"/>
      <c r="J66" s="25"/>
      <c r="K66" s="25"/>
      <c r="L66" s="25">
        <f t="shared" si="3"/>
        <v>15971</v>
      </c>
      <c r="M66" s="25">
        <f t="shared" si="1"/>
        <v>6285</v>
      </c>
      <c r="O66" s="217">
        <v>273268</v>
      </c>
    </row>
    <row r="67" spans="1:15" ht="12.6" customHeight="1" x14ac:dyDescent="0.2">
      <c r="A67" s="218" t="s">
        <v>324</v>
      </c>
      <c r="B67" s="78" t="s">
        <v>104</v>
      </c>
      <c r="C67" s="84" t="s">
        <v>132</v>
      </c>
      <c r="D67" s="84" t="s">
        <v>132</v>
      </c>
      <c r="E67" s="71">
        <v>3724</v>
      </c>
      <c r="F67" s="71">
        <v>1775</v>
      </c>
      <c r="G67" s="71">
        <v>3109</v>
      </c>
      <c r="H67" s="72">
        <v>0</v>
      </c>
      <c r="I67" s="72">
        <v>5447</v>
      </c>
      <c r="J67" s="72">
        <v>0</v>
      </c>
      <c r="K67" s="72">
        <v>0</v>
      </c>
      <c r="L67" s="72">
        <f t="shared" si="3"/>
        <v>14055</v>
      </c>
      <c r="M67" s="72">
        <f t="shared" ref="M67:M85" si="4">E67-F67</f>
        <v>1949</v>
      </c>
      <c r="N67" s="80"/>
      <c r="O67" s="216"/>
    </row>
    <row r="68" spans="1:15" ht="12.75" customHeight="1" x14ac:dyDescent="0.2">
      <c r="A68" s="219" t="s">
        <v>103</v>
      </c>
      <c r="B68" s="6" t="s">
        <v>104</v>
      </c>
      <c r="C68" s="74" t="s">
        <v>132</v>
      </c>
      <c r="D68" s="74" t="s">
        <v>132</v>
      </c>
      <c r="E68" s="314" t="s">
        <v>330</v>
      </c>
      <c r="F68" s="314"/>
      <c r="G68" s="314"/>
      <c r="H68" s="25"/>
      <c r="I68" s="25"/>
      <c r="J68" s="25"/>
      <c r="K68" s="25"/>
      <c r="L68" s="25">
        <f t="shared" si="3"/>
        <v>0</v>
      </c>
      <c r="M68" s="25"/>
      <c r="O68" s="217"/>
    </row>
    <row r="69" spans="1:15" ht="30.75" customHeight="1" x14ac:dyDescent="0.2">
      <c r="A69" s="218" t="s">
        <v>88</v>
      </c>
      <c r="B69" s="78" t="s">
        <v>104</v>
      </c>
      <c r="C69" s="84" t="s">
        <v>132</v>
      </c>
      <c r="D69" s="84" t="s">
        <v>132</v>
      </c>
      <c r="E69" s="71">
        <v>4347</v>
      </c>
      <c r="F69" s="71">
        <v>2041</v>
      </c>
      <c r="G69" s="71">
        <v>4003</v>
      </c>
      <c r="H69" s="72"/>
      <c r="I69" s="72"/>
      <c r="J69" s="72"/>
      <c r="K69" s="72"/>
      <c r="L69" s="72">
        <f t="shared" si="3"/>
        <v>10391</v>
      </c>
      <c r="M69" s="72">
        <f t="shared" si="4"/>
        <v>2306</v>
      </c>
      <c r="N69" s="80"/>
      <c r="O69" s="216"/>
    </row>
    <row r="70" spans="1:15" ht="28.5" customHeight="1" x14ac:dyDescent="0.2">
      <c r="A70" s="221" t="s">
        <v>90</v>
      </c>
      <c r="B70" s="6" t="s">
        <v>104</v>
      </c>
      <c r="C70" s="74" t="s">
        <v>132</v>
      </c>
      <c r="D70" s="74" t="s">
        <v>132</v>
      </c>
      <c r="E70" s="75">
        <v>1469</v>
      </c>
      <c r="F70" s="83">
        <v>711</v>
      </c>
      <c r="G70" s="75">
        <v>1472</v>
      </c>
      <c r="H70" s="25"/>
      <c r="I70" s="25"/>
      <c r="J70" s="25"/>
      <c r="K70" s="25"/>
      <c r="L70" s="25">
        <f t="shared" si="3"/>
        <v>3652</v>
      </c>
      <c r="M70" s="25">
        <f t="shared" si="4"/>
        <v>758</v>
      </c>
      <c r="O70" s="217"/>
    </row>
    <row r="71" spans="1:15" ht="12.75" customHeight="1" x14ac:dyDescent="0.2">
      <c r="A71" s="218" t="s">
        <v>92</v>
      </c>
      <c r="B71" s="78" t="s">
        <v>104</v>
      </c>
      <c r="C71" s="84" t="s">
        <v>132</v>
      </c>
      <c r="D71" s="84" t="s">
        <v>132</v>
      </c>
      <c r="E71" s="71">
        <v>3825</v>
      </c>
      <c r="F71" s="71">
        <v>1854</v>
      </c>
      <c r="G71" s="71">
        <v>3490</v>
      </c>
      <c r="H71" s="72"/>
      <c r="I71" s="72"/>
      <c r="J71" s="72"/>
      <c r="K71" s="72"/>
      <c r="L71" s="72">
        <f t="shared" si="3"/>
        <v>9169</v>
      </c>
      <c r="M71" s="72">
        <f t="shared" si="4"/>
        <v>1971</v>
      </c>
      <c r="N71" s="80"/>
      <c r="O71" s="216"/>
    </row>
    <row r="72" spans="1:15" ht="12.75" customHeight="1" x14ac:dyDescent="0.2">
      <c r="A72" s="201" t="s">
        <v>55</v>
      </c>
      <c r="B72" s="6" t="s">
        <v>28</v>
      </c>
      <c r="C72" s="82">
        <v>76544</v>
      </c>
      <c r="D72" s="82" t="s">
        <v>252</v>
      </c>
      <c r="E72" s="75">
        <v>39983</v>
      </c>
      <c r="F72" s="75">
        <v>22242</v>
      </c>
      <c r="G72" s="75">
        <v>39425</v>
      </c>
      <c r="H72" s="25">
        <v>261983</v>
      </c>
      <c r="I72" s="25">
        <v>19126</v>
      </c>
      <c r="J72" s="25">
        <v>0</v>
      </c>
      <c r="K72" s="25">
        <v>0</v>
      </c>
      <c r="L72" s="25">
        <f t="shared" si="3"/>
        <v>382759</v>
      </c>
      <c r="M72" s="25">
        <f t="shared" si="4"/>
        <v>17741</v>
      </c>
      <c r="O72" s="217">
        <v>665566</v>
      </c>
    </row>
    <row r="73" spans="1:15" ht="12.75" customHeight="1" x14ac:dyDescent="0.2">
      <c r="A73" s="220" t="s">
        <v>39</v>
      </c>
      <c r="B73" s="78" t="s">
        <v>28</v>
      </c>
      <c r="C73" s="70">
        <v>79916</v>
      </c>
      <c r="D73" s="70" t="s">
        <v>242</v>
      </c>
      <c r="E73" s="71">
        <v>26302</v>
      </c>
      <c r="F73" s="71">
        <v>14246</v>
      </c>
      <c r="G73" s="71">
        <v>25233</v>
      </c>
      <c r="H73" s="72"/>
      <c r="I73" s="72"/>
      <c r="J73" s="72"/>
      <c r="K73" s="72"/>
      <c r="L73" s="72">
        <f t="shared" si="3"/>
        <v>65781</v>
      </c>
      <c r="M73" s="72">
        <f t="shared" si="4"/>
        <v>12056</v>
      </c>
      <c r="N73" s="80"/>
      <c r="O73" s="216">
        <v>634744</v>
      </c>
    </row>
    <row r="74" spans="1:15" s="8" customFormat="1" ht="12.75" customHeight="1" x14ac:dyDescent="0.2">
      <c r="A74" s="222" t="s">
        <v>73</v>
      </c>
      <c r="B74" s="10" t="s">
        <v>28</v>
      </c>
      <c r="C74" s="82">
        <v>75501</v>
      </c>
      <c r="D74" s="82" t="s">
        <v>253</v>
      </c>
      <c r="E74" s="75">
        <v>1481</v>
      </c>
      <c r="F74" s="75">
        <v>1052</v>
      </c>
      <c r="G74" s="75">
        <v>2318</v>
      </c>
      <c r="H74" s="25"/>
      <c r="I74" s="25"/>
      <c r="J74" s="25"/>
      <c r="K74" s="25"/>
      <c r="L74" s="25">
        <f t="shared" si="3"/>
        <v>4851</v>
      </c>
      <c r="M74" s="25">
        <f t="shared" si="4"/>
        <v>429</v>
      </c>
      <c r="N74" s="85"/>
      <c r="O74" s="217"/>
    </row>
    <row r="75" spans="1:15" ht="12.75" customHeight="1" x14ac:dyDescent="0.2">
      <c r="A75" s="220" t="s">
        <v>52</v>
      </c>
      <c r="B75" s="78" t="s">
        <v>34</v>
      </c>
      <c r="C75" s="70">
        <v>84022</v>
      </c>
      <c r="D75" s="70" t="s">
        <v>254</v>
      </c>
      <c r="E75" s="72">
        <v>6</v>
      </c>
      <c r="F75" s="72">
        <v>927</v>
      </c>
      <c r="G75" s="72">
        <v>632</v>
      </c>
      <c r="H75" s="72">
        <v>274</v>
      </c>
      <c r="I75" s="72">
        <v>844</v>
      </c>
      <c r="J75" s="72">
        <v>40</v>
      </c>
      <c r="K75" s="72">
        <v>0</v>
      </c>
      <c r="L75" s="72">
        <v>2723</v>
      </c>
      <c r="M75" s="72">
        <f t="shared" si="4"/>
        <v>-921</v>
      </c>
      <c r="N75" s="80"/>
      <c r="O75" s="216">
        <v>11367</v>
      </c>
    </row>
    <row r="76" spans="1:15" ht="12.75" customHeight="1" x14ac:dyDescent="0.2">
      <c r="A76" s="222" t="s">
        <v>81</v>
      </c>
      <c r="B76" s="6" t="s">
        <v>34</v>
      </c>
      <c r="C76" s="82">
        <v>84074</v>
      </c>
      <c r="D76" s="82" t="s">
        <v>254</v>
      </c>
      <c r="E76" s="25">
        <v>104</v>
      </c>
      <c r="F76" s="25">
        <v>168</v>
      </c>
      <c r="G76" s="25">
        <v>0</v>
      </c>
      <c r="H76" s="25">
        <v>581</v>
      </c>
      <c r="I76" s="25" t="s">
        <v>266</v>
      </c>
      <c r="J76" s="25">
        <v>213</v>
      </c>
      <c r="K76" s="25">
        <v>0</v>
      </c>
      <c r="L76" s="25">
        <f t="shared" si="3"/>
        <v>1066</v>
      </c>
      <c r="M76" s="25">
        <f t="shared" si="4"/>
        <v>-64</v>
      </c>
      <c r="N76" s="91"/>
      <c r="O76" s="217"/>
    </row>
    <row r="77" spans="1:15" ht="12.75" customHeight="1" x14ac:dyDescent="0.2">
      <c r="A77" s="220" t="s">
        <v>49</v>
      </c>
      <c r="B77" s="78" t="s">
        <v>29</v>
      </c>
      <c r="C77" s="70">
        <v>22060</v>
      </c>
      <c r="D77" s="70" t="s">
        <v>237</v>
      </c>
      <c r="E77" s="71">
        <v>3533</v>
      </c>
      <c r="F77" s="71">
        <v>2357</v>
      </c>
      <c r="G77" s="71">
        <v>5089</v>
      </c>
      <c r="H77" s="72">
        <v>16239</v>
      </c>
      <c r="I77" s="72">
        <v>39071</v>
      </c>
      <c r="J77" s="72">
        <v>2066</v>
      </c>
      <c r="K77" s="72">
        <v>408</v>
      </c>
      <c r="L77" s="72">
        <f t="shared" si="3"/>
        <v>68763</v>
      </c>
      <c r="M77" s="72">
        <f t="shared" si="4"/>
        <v>1176</v>
      </c>
      <c r="N77" s="80"/>
      <c r="O77" s="216">
        <v>856230</v>
      </c>
    </row>
    <row r="78" spans="1:15" ht="12.75" customHeight="1" x14ac:dyDescent="0.2">
      <c r="A78" s="201" t="s">
        <v>86</v>
      </c>
      <c r="B78" s="6" t="s">
        <v>29</v>
      </c>
      <c r="C78" s="82">
        <v>23297</v>
      </c>
      <c r="D78" s="82" t="s">
        <v>255</v>
      </c>
      <c r="E78" s="83">
        <v>6</v>
      </c>
      <c r="F78" s="83">
        <v>4</v>
      </c>
      <c r="G78" s="83">
        <v>12</v>
      </c>
      <c r="H78" s="25"/>
      <c r="I78" s="25"/>
      <c r="J78" s="25"/>
      <c r="K78" s="25"/>
      <c r="L78" s="25">
        <f t="shared" si="3"/>
        <v>22</v>
      </c>
      <c r="M78" s="25">
        <f t="shared" si="4"/>
        <v>2</v>
      </c>
      <c r="O78" s="217"/>
    </row>
    <row r="79" spans="1:15" ht="12.75" customHeight="1" x14ac:dyDescent="0.2">
      <c r="A79" s="218" t="s">
        <v>48</v>
      </c>
      <c r="B79" s="78" t="s">
        <v>29</v>
      </c>
      <c r="C79" s="70">
        <v>22427</v>
      </c>
      <c r="D79" s="70" t="s">
        <v>256</v>
      </c>
      <c r="E79" s="72">
        <v>1681</v>
      </c>
      <c r="F79" s="72">
        <v>0</v>
      </c>
      <c r="G79" s="72">
        <v>0</v>
      </c>
      <c r="H79" s="72"/>
      <c r="I79" s="72">
        <v>326</v>
      </c>
      <c r="J79" s="72"/>
      <c r="K79" s="72">
        <v>9000</v>
      </c>
      <c r="L79" s="72">
        <f t="shared" si="3"/>
        <v>11007</v>
      </c>
      <c r="M79" s="72">
        <f>E79-F79</f>
        <v>1681</v>
      </c>
      <c r="N79" s="80"/>
      <c r="O79" s="216">
        <v>15279</v>
      </c>
    </row>
    <row r="80" spans="1:15" ht="12.75" customHeight="1" x14ac:dyDescent="0.2">
      <c r="A80" s="201" t="s">
        <v>61</v>
      </c>
      <c r="B80" s="6" t="s">
        <v>29</v>
      </c>
      <c r="C80" s="82">
        <v>23801</v>
      </c>
      <c r="D80" s="82" t="s">
        <v>255</v>
      </c>
      <c r="E80" s="75">
        <v>6149</v>
      </c>
      <c r="F80" s="75">
        <v>2777</v>
      </c>
      <c r="G80" s="75">
        <v>6178</v>
      </c>
      <c r="H80" s="25"/>
      <c r="I80" s="25"/>
      <c r="J80" s="25"/>
      <c r="K80" s="25"/>
      <c r="L80" s="25">
        <f t="shared" si="3"/>
        <v>15104</v>
      </c>
      <c r="M80" s="25">
        <f t="shared" si="4"/>
        <v>3372</v>
      </c>
      <c r="O80" s="217">
        <v>236712</v>
      </c>
    </row>
    <row r="81" spans="1:15" ht="12.75" customHeight="1" x14ac:dyDescent="0.2">
      <c r="A81" s="220" t="s">
        <v>115</v>
      </c>
      <c r="B81" s="78" t="s">
        <v>29</v>
      </c>
      <c r="C81" s="70">
        <v>23604</v>
      </c>
      <c r="D81" s="70" t="s">
        <v>257</v>
      </c>
      <c r="E81" s="71">
        <v>5065</v>
      </c>
      <c r="F81" s="71">
        <v>2954</v>
      </c>
      <c r="G81" s="71">
        <v>6032</v>
      </c>
      <c r="H81" s="72"/>
      <c r="I81" s="72"/>
      <c r="J81" s="72"/>
      <c r="K81" s="72"/>
      <c r="L81" s="72">
        <f t="shared" si="3"/>
        <v>14051</v>
      </c>
      <c r="M81" s="72">
        <f t="shared" si="4"/>
        <v>2111</v>
      </c>
      <c r="N81" s="80"/>
      <c r="O81" s="216"/>
    </row>
    <row r="82" spans="1:15" ht="12.75" customHeight="1" x14ac:dyDescent="0.2">
      <c r="A82" s="201" t="s">
        <v>63</v>
      </c>
      <c r="B82" s="6" t="s">
        <v>30</v>
      </c>
      <c r="C82" s="82">
        <v>98433</v>
      </c>
      <c r="D82" s="82" t="s">
        <v>258</v>
      </c>
      <c r="E82" s="75">
        <v>29373</v>
      </c>
      <c r="F82" s="75">
        <v>17312</v>
      </c>
      <c r="G82" s="75">
        <v>29161</v>
      </c>
      <c r="H82" s="25"/>
      <c r="I82" s="25"/>
      <c r="J82" s="25"/>
      <c r="K82" s="25"/>
      <c r="L82" s="25">
        <f t="shared" si="3"/>
        <v>75846</v>
      </c>
      <c r="M82" s="25">
        <f t="shared" si="4"/>
        <v>12061</v>
      </c>
      <c r="O82" s="224">
        <v>791253</v>
      </c>
    </row>
    <row r="83" spans="1:15" ht="12.75" customHeight="1" x14ac:dyDescent="0.2">
      <c r="A83" s="220" t="s">
        <v>260</v>
      </c>
      <c r="B83" s="78" t="s">
        <v>30</v>
      </c>
      <c r="C83" s="70">
        <v>98901</v>
      </c>
      <c r="D83" s="70" t="s">
        <v>259</v>
      </c>
      <c r="E83" s="79">
        <v>291</v>
      </c>
      <c r="F83" s="79">
        <v>235</v>
      </c>
      <c r="G83" s="79">
        <v>472</v>
      </c>
      <c r="H83" s="72"/>
      <c r="I83" s="72"/>
      <c r="J83" s="72"/>
      <c r="K83" s="72"/>
      <c r="L83" s="72"/>
      <c r="M83" s="72">
        <f t="shared" si="4"/>
        <v>56</v>
      </c>
      <c r="N83" s="80"/>
      <c r="O83" s="216">
        <v>7036</v>
      </c>
    </row>
    <row r="84" spans="1:15" ht="12.75" customHeight="1" x14ac:dyDescent="0.2">
      <c r="A84" s="221" t="s">
        <v>67</v>
      </c>
      <c r="B84" s="6" t="s">
        <v>113</v>
      </c>
      <c r="C84" s="82">
        <v>20319</v>
      </c>
      <c r="D84" s="82" t="s">
        <v>237</v>
      </c>
      <c r="E84" s="83">
        <v>708</v>
      </c>
      <c r="F84" s="83">
        <v>516</v>
      </c>
      <c r="G84" s="75">
        <v>1169</v>
      </c>
      <c r="H84" s="25"/>
      <c r="I84" s="25"/>
      <c r="J84" s="25"/>
      <c r="K84" s="25"/>
      <c r="L84" s="25">
        <f t="shared" si="3"/>
        <v>2393</v>
      </c>
      <c r="M84" s="25">
        <f t="shared" si="4"/>
        <v>192</v>
      </c>
      <c r="O84" s="217"/>
    </row>
    <row r="85" spans="1:15" ht="12.75" customHeight="1" x14ac:dyDescent="0.2">
      <c r="A85" s="218" t="s">
        <v>66</v>
      </c>
      <c r="B85" s="78" t="s">
        <v>31</v>
      </c>
      <c r="C85" s="70">
        <v>54656</v>
      </c>
      <c r="D85" s="70" t="s">
        <v>261</v>
      </c>
      <c r="E85" s="79">
        <v>123</v>
      </c>
      <c r="F85" s="79">
        <v>103</v>
      </c>
      <c r="G85" s="79">
        <v>239</v>
      </c>
      <c r="H85" s="72">
        <v>144162</v>
      </c>
      <c r="I85" s="72">
        <v>1308</v>
      </c>
      <c r="J85" s="72">
        <v>3933</v>
      </c>
      <c r="K85" s="72">
        <v>125000</v>
      </c>
      <c r="L85" s="72">
        <f t="shared" si="3"/>
        <v>274868</v>
      </c>
      <c r="M85" s="72">
        <f t="shared" si="4"/>
        <v>20</v>
      </c>
      <c r="N85" s="80"/>
      <c r="O85" s="216"/>
    </row>
    <row r="86" spans="1:15" ht="12.75" customHeight="1" thickBot="1" x14ac:dyDescent="0.25">
      <c r="A86" s="225"/>
      <c r="B86" s="226"/>
      <c r="C86" s="227"/>
      <c r="D86" s="228"/>
      <c r="E86" s="229">
        <f>SUM(E3:E85)</f>
        <v>445436</v>
      </c>
      <c r="F86" s="229">
        <f t="shared" ref="F86:L86" si="5">SUM(F3:F85)</f>
        <v>244625</v>
      </c>
      <c r="G86" s="229">
        <f t="shared" si="5"/>
        <v>440217</v>
      </c>
      <c r="H86" s="229">
        <f t="shared" si="5"/>
        <v>907186</v>
      </c>
      <c r="I86" s="229">
        <f t="shared" si="5"/>
        <v>215986</v>
      </c>
      <c r="J86" s="229">
        <f t="shared" si="5"/>
        <v>42063.5</v>
      </c>
      <c r="K86" s="229">
        <f t="shared" si="5"/>
        <v>168481.5</v>
      </c>
      <c r="L86" s="229">
        <f t="shared" si="5"/>
        <v>2521473</v>
      </c>
      <c r="M86" s="229">
        <f>SUM(M3:M85)</f>
        <v>200791</v>
      </c>
      <c r="N86" s="230"/>
      <c r="O86" s="231"/>
    </row>
    <row r="88" spans="1:15" ht="12.75" customHeight="1" x14ac:dyDescent="0.2">
      <c r="A88" s="95"/>
      <c r="B88" s="17"/>
      <c r="C88" s="96"/>
      <c r="D88" s="18"/>
    </row>
    <row r="89" spans="1:15" ht="12.75" customHeight="1" x14ac:dyDescent="0.2">
      <c r="A89" s="95"/>
      <c r="B89" s="17"/>
      <c r="C89" s="96"/>
      <c r="D89" s="18"/>
    </row>
  </sheetData>
  <autoFilter ref="A2:N83">
    <sortState ref="A2:M95">
      <sortCondition ref="B1:B89"/>
    </sortState>
  </autoFilter>
  <mergeCells count="5">
    <mergeCell ref="E16:G16"/>
    <mergeCell ref="E23:G23"/>
    <mergeCell ref="E34:G34"/>
    <mergeCell ref="E68:G68"/>
    <mergeCell ref="A1:O1"/>
  </mergeCells>
  <pageMargins left="0.7" right="0.7" top="0.75" bottom="0.75" header="0.3" footer="0.3"/>
  <pageSetup paperSize="1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3"/>
  <sheetViews>
    <sheetView workbookViewId="0">
      <pane ySplit="1230"/>
      <selection sqref="A1:XFD1048576"/>
      <selection pane="bottomLeft" activeCell="A2" sqref="A2"/>
    </sheetView>
  </sheetViews>
  <sheetFormatPr defaultColWidth="9.140625" defaultRowHeight="12.75" customHeight="1" x14ac:dyDescent="0.2"/>
  <cols>
    <col min="1" max="1" width="52.42578125" style="6" customWidth="1"/>
    <col min="2" max="2" width="15.5703125" style="16" hidden="1" customWidth="1"/>
    <col min="3" max="3" width="14.85546875" style="97" customWidth="1"/>
    <col min="4" max="4" width="9.85546875" style="8" customWidth="1"/>
    <col min="5" max="5" width="17" style="8" customWidth="1"/>
    <col min="6" max="6" width="18.7109375" style="8" customWidth="1"/>
    <col min="7" max="7" width="16.7109375" style="8" customWidth="1"/>
    <col min="8" max="8" width="17.7109375" style="8" customWidth="1"/>
    <col min="9" max="9" width="19" style="8" customWidth="1"/>
    <col min="10" max="10" width="14.85546875" style="8" customWidth="1"/>
    <col min="11" max="11" width="10.5703125" style="16" customWidth="1"/>
    <col min="12" max="12" width="12.28515625" style="16" customWidth="1"/>
    <col min="13" max="16384" width="9.140625" style="16"/>
  </cols>
  <sheetData>
    <row r="1" spans="1:16" s="4" customFormat="1" ht="49.15" customHeight="1" thickBot="1" x14ac:dyDescent="0.25">
      <c r="A1" s="317" t="s">
        <v>376</v>
      </c>
      <c r="B1" s="318"/>
      <c r="C1" s="318"/>
      <c r="D1" s="318"/>
      <c r="E1" s="318"/>
      <c r="F1" s="318"/>
      <c r="G1" s="318"/>
      <c r="H1" s="318"/>
      <c r="I1" s="319"/>
      <c r="J1" s="271"/>
      <c r="K1" s="271"/>
      <c r="L1" s="271"/>
      <c r="M1" s="271"/>
      <c r="N1" s="271"/>
      <c r="O1" s="271"/>
      <c r="P1" s="22"/>
    </row>
    <row r="2" spans="1:16" ht="38.25" customHeight="1" x14ac:dyDescent="0.2">
      <c r="A2" s="210" t="s">
        <v>37</v>
      </c>
      <c r="B2" s="211" t="s">
        <v>35</v>
      </c>
      <c r="C2" s="213" t="s">
        <v>141</v>
      </c>
      <c r="D2" s="211" t="s">
        <v>142</v>
      </c>
      <c r="E2" s="211" t="s">
        <v>143</v>
      </c>
      <c r="F2" s="211" t="s">
        <v>194</v>
      </c>
      <c r="G2" s="211" t="s">
        <v>195</v>
      </c>
      <c r="H2" s="211" t="s">
        <v>196</v>
      </c>
      <c r="I2" s="232" t="s">
        <v>197</v>
      </c>
      <c r="J2" s="22"/>
      <c r="K2" s="4"/>
      <c r="L2" s="4"/>
      <c r="M2" s="4"/>
      <c r="N2" s="4"/>
      <c r="O2" s="4"/>
    </row>
    <row r="3" spans="1:16" ht="12.75" customHeight="1" x14ac:dyDescent="0.2">
      <c r="A3" s="233" t="s">
        <v>39</v>
      </c>
      <c r="B3" s="16" t="s">
        <v>36</v>
      </c>
      <c r="C3" s="97">
        <v>52</v>
      </c>
      <c r="E3" s="19">
        <f>30.5*C3*0.2</f>
        <v>317.20000000000005</v>
      </c>
      <c r="F3" s="19">
        <f>(E3*3)*0.9</f>
        <v>856.44000000000017</v>
      </c>
      <c r="G3" s="19">
        <f>(E3*6)*0.85</f>
        <v>1617.7200000000003</v>
      </c>
      <c r="H3" s="19">
        <f>(E3*9)*0.8</f>
        <v>2283.84</v>
      </c>
      <c r="I3" s="234">
        <f>(E3*12)*0.75</f>
        <v>2854.8</v>
      </c>
    </row>
    <row r="4" spans="1:16" ht="12" customHeight="1" x14ac:dyDescent="0.2">
      <c r="A4" s="235" t="s">
        <v>55</v>
      </c>
      <c r="B4" s="102"/>
      <c r="C4" s="103">
        <v>48</v>
      </c>
      <c r="D4" s="102"/>
      <c r="E4" s="54">
        <f t="shared" ref="E4:E46" si="0">30.5*C4*0.2</f>
        <v>292.8</v>
      </c>
      <c r="F4" s="54">
        <f t="shared" ref="F4:F46" si="1">(E4*3)*0.9</f>
        <v>790.56000000000006</v>
      </c>
      <c r="G4" s="54">
        <f t="shared" ref="G4:G46" si="2">(E4*6)*0.85</f>
        <v>1493.2800000000002</v>
      </c>
      <c r="H4" s="54">
        <f t="shared" ref="H4:H46" si="3">(E4*9)*0.8</f>
        <v>2108.1600000000003</v>
      </c>
      <c r="I4" s="236">
        <f t="shared" ref="I4:I46" si="4">(E4*12)*0.75</f>
        <v>2635.2000000000003</v>
      </c>
    </row>
    <row r="5" spans="1:16" ht="12.75" customHeight="1" x14ac:dyDescent="0.2">
      <c r="A5" s="198" t="s">
        <v>384</v>
      </c>
      <c r="B5" s="11"/>
      <c r="C5" s="106">
        <v>48</v>
      </c>
      <c r="E5" s="19">
        <f>30.5*C5*0.2</f>
        <v>292.8</v>
      </c>
      <c r="F5" s="19">
        <f t="shared" si="1"/>
        <v>790.56000000000006</v>
      </c>
      <c r="G5" s="19">
        <f t="shared" si="2"/>
        <v>1493.2800000000002</v>
      </c>
      <c r="H5" s="19">
        <f t="shared" si="3"/>
        <v>2108.1600000000003</v>
      </c>
      <c r="I5" s="234">
        <f t="shared" si="4"/>
        <v>2635.2000000000003</v>
      </c>
    </row>
    <row r="6" spans="1:16" ht="12.75" customHeight="1" x14ac:dyDescent="0.2">
      <c r="A6" s="237" t="s">
        <v>190</v>
      </c>
      <c r="B6" s="102"/>
      <c r="C6" s="103">
        <v>46</v>
      </c>
      <c r="D6" s="102"/>
      <c r="E6" s="54">
        <f t="shared" si="0"/>
        <v>280.60000000000002</v>
      </c>
      <c r="F6" s="54">
        <f t="shared" si="1"/>
        <v>757.62000000000012</v>
      </c>
      <c r="G6" s="54">
        <f t="shared" si="2"/>
        <v>1431.0600000000002</v>
      </c>
      <c r="H6" s="54">
        <f t="shared" si="3"/>
        <v>2020.3200000000002</v>
      </c>
      <c r="I6" s="236">
        <f t="shared" si="4"/>
        <v>2525.4</v>
      </c>
    </row>
    <row r="7" spans="1:16" ht="12.75" customHeight="1" x14ac:dyDescent="0.2">
      <c r="A7" s="233" t="s">
        <v>62</v>
      </c>
      <c r="C7" s="97">
        <v>40</v>
      </c>
      <c r="E7" s="19">
        <f t="shared" si="0"/>
        <v>244</v>
      </c>
      <c r="F7" s="19">
        <f t="shared" si="1"/>
        <v>658.80000000000007</v>
      </c>
      <c r="G7" s="19">
        <f t="shared" si="2"/>
        <v>1244.3999999999999</v>
      </c>
      <c r="H7" s="19">
        <f t="shared" si="3"/>
        <v>1756.8000000000002</v>
      </c>
      <c r="I7" s="234">
        <f t="shared" si="4"/>
        <v>2196</v>
      </c>
    </row>
    <row r="8" spans="1:16" ht="12.75" customHeight="1" x14ac:dyDescent="0.2">
      <c r="A8" s="235" t="s">
        <v>75</v>
      </c>
      <c r="B8" s="102"/>
      <c r="C8" s="104">
        <v>40</v>
      </c>
      <c r="D8" s="102"/>
      <c r="E8" s="54">
        <f t="shared" si="0"/>
        <v>244</v>
      </c>
      <c r="F8" s="54">
        <f t="shared" si="1"/>
        <v>658.80000000000007</v>
      </c>
      <c r="G8" s="54">
        <f t="shared" si="2"/>
        <v>1244.3999999999999</v>
      </c>
      <c r="H8" s="54">
        <f t="shared" si="3"/>
        <v>1756.8000000000002</v>
      </c>
      <c r="I8" s="236">
        <f t="shared" si="4"/>
        <v>2196</v>
      </c>
    </row>
    <row r="9" spans="1:16" ht="12.75" customHeight="1" x14ac:dyDescent="0.2">
      <c r="A9" s="233" t="s">
        <v>181</v>
      </c>
      <c r="C9" s="97">
        <v>40</v>
      </c>
      <c r="E9" s="19">
        <f t="shared" si="0"/>
        <v>244</v>
      </c>
      <c r="F9" s="19">
        <f t="shared" si="1"/>
        <v>658.80000000000007</v>
      </c>
      <c r="G9" s="19">
        <f t="shared" si="2"/>
        <v>1244.3999999999999</v>
      </c>
      <c r="H9" s="19">
        <f t="shared" si="3"/>
        <v>1756.8000000000002</v>
      </c>
      <c r="I9" s="234">
        <f t="shared" si="4"/>
        <v>2196</v>
      </c>
    </row>
    <row r="10" spans="1:16" ht="12.75" customHeight="1" x14ac:dyDescent="0.2">
      <c r="A10" s="235" t="s">
        <v>44</v>
      </c>
      <c r="B10" s="102" t="s">
        <v>36</v>
      </c>
      <c r="C10" s="105">
        <v>36</v>
      </c>
      <c r="D10" s="102"/>
      <c r="E10" s="54">
        <f t="shared" si="0"/>
        <v>219.60000000000002</v>
      </c>
      <c r="F10" s="54">
        <f t="shared" si="1"/>
        <v>592.92000000000007</v>
      </c>
      <c r="G10" s="54">
        <f t="shared" si="2"/>
        <v>1119.96</v>
      </c>
      <c r="H10" s="54">
        <f t="shared" si="3"/>
        <v>1581.1200000000001</v>
      </c>
      <c r="I10" s="236">
        <f t="shared" si="4"/>
        <v>1976.4</v>
      </c>
    </row>
    <row r="11" spans="1:16" ht="12.75" customHeight="1" x14ac:dyDescent="0.2">
      <c r="A11" s="233" t="s">
        <v>64</v>
      </c>
      <c r="C11" s="97">
        <v>36</v>
      </c>
      <c r="E11" s="19">
        <f t="shared" si="0"/>
        <v>219.60000000000002</v>
      </c>
      <c r="F11" s="19">
        <f t="shared" si="1"/>
        <v>592.92000000000007</v>
      </c>
      <c r="G11" s="19">
        <f t="shared" si="2"/>
        <v>1119.96</v>
      </c>
      <c r="H11" s="19">
        <f t="shared" si="3"/>
        <v>1581.1200000000001</v>
      </c>
      <c r="I11" s="234">
        <f t="shared" si="4"/>
        <v>1976.4</v>
      </c>
    </row>
    <row r="12" spans="1:16" ht="12.75" customHeight="1" x14ac:dyDescent="0.2">
      <c r="A12" s="237" t="s">
        <v>78</v>
      </c>
      <c r="B12" s="102"/>
      <c r="C12" s="105">
        <v>36</v>
      </c>
      <c r="D12" s="102"/>
      <c r="E12" s="54">
        <f t="shared" si="0"/>
        <v>219.60000000000002</v>
      </c>
      <c r="F12" s="54">
        <f t="shared" si="1"/>
        <v>592.92000000000007</v>
      </c>
      <c r="G12" s="54">
        <f t="shared" si="2"/>
        <v>1119.96</v>
      </c>
      <c r="H12" s="54">
        <f t="shared" si="3"/>
        <v>1581.1200000000001</v>
      </c>
      <c r="I12" s="236">
        <f t="shared" si="4"/>
        <v>1976.4</v>
      </c>
    </row>
    <row r="13" spans="1:16" ht="12.75" customHeight="1" x14ac:dyDescent="0.2">
      <c r="A13" s="233" t="s">
        <v>180</v>
      </c>
      <c r="C13" s="98">
        <v>36</v>
      </c>
      <c r="E13" s="19">
        <f t="shared" si="0"/>
        <v>219.60000000000002</v>
      </c>
      <c r="F13" s="19">
        <f t="shared" si="1"/>
        <v>592.92000000000007</v>
      </c>
      <c r="G13" s="19">
        <f t="shared" si="2"/>
        <v>1119.96</v>
      </c>
      <c r="H13" s="19">
        <f t="shared" si="3"/>
        <v>1581.1200000000001</v>
      </c>
      <c r="I13" s="234">
        <f t="shared" si="4"/>
        <v>1976.4</v>
      </c>
    </row>
    <row r="14" spans="1:16" ht="12.75" customHeight="1" x14ac:dyDescent="0.2">
      <c r="A14" s="235" t="s">
        <v>114</v>
      </c>
      <c r="B14" s="102" t="s">
        <v>36</v>
      </c>
      <c r="C14" s="103">
        <v>32</v>
      </c>
      <c r="D14" s="102"/>
      <c r="E14" s="54">
        <f t="shared" si="0"/>
        <v>195.20000000000002</v>
      </c>
      <c r="F14" s="54">
        <f t="shared" si="1"/>
        <v>527.04000000000008</v>
      </c>
      <c r="G14" s="54">
        <f t="shared" si="2"/>
        <v>995.52</v>
      </c>
      <c r="H14" s="54">
        <f t="shared" si="3"/>
        <v>1405.4400000000003</v>
      </c>
      <c r="I14" s="236">
        <f t="shared" si="4"/>
        <v>1756.8000000000002</v>
      </c>
    </row>
    <row r="15" spans="1:16" ht="12.75" customHeight="1" x14ac:dyDescent="0.2">
      <c r="A15" s="233" t="s">
        <v>60</v>
      </c>
      <c r="C15" s="97">
        <v>32</v>
      </c>
      <c r="E15" s="19">
        <f t="shared" si="0"/>
        <v>195.20000000000002</v>
      </c>
      <c r="F15" s="19">
        <f t="shared" si="1"/>
        <v>527.04000000000008</v>
      </c>
      <c r="G15" s="19">
        <f t="shared" si="2"/>
        <v>995.52</v>
      </c>
      <c r="H15" s="19">
        <f t="shared" si="3"/>
        <v>1405.4400000000003</v>
      </c>
      <c r="I15" s="234">
        <f t="shared" si="4"/>
        <v>1756.8000000000002</v>
      </c>
    </row>
    <row r="16" spans="1:16" ht="12" customHeight="1" x14ac:dyDescent="0.2">
      <c r="A16" s="237" t="s">
        <v>91</v>
      </c>
      <c r="B16" s="102"/>
      <c r="C16" s="103">
        <v>32</v>
      </c>
      <c r="D16" s="102"/>
      <c r="E16" s="54">
        <f t="shared" si="0"/>
        <v>195.20000000000002</v>
      </c>
      <c r="F16" s="54">
        <f t="shared" si="1"/>
        <v>527.04000000000008</v>
      </c>
      <c r="G16" s="54">
        <f t="shared" si="2"/>
        <v>995.52</v>
      </c>
      <c r="H16" s="54">
        <f t="shared" si="3"/>
        <v>1405.4400000000003</v>
      </c>
      <c r="I16" s="236">
        <f t="shared" si="4"/>
        <v>1756.8000000000002</v>
      </c>
    </row>
    <row r="17" spans="1:15" ht="12" customHeight="1" x14ac:dyDescent="0.2">
      <c r="A17" s="198" t="s">
        <v>92</v>
      </c>
      <c r="C17" s="97">
        <v>32</v>
      </c>
      <c r="E17" s="19">
        <f t="shared" si="0"/>
        <v>195.20000000000002</v>
      </c>
      <c r="F17" s="19">
        <f t="shared" si="1"/>
        <v>527.04000000000008</v>
      </c>
      <c r="G17" s="19">
        <f t="shared" si="2"/>
        <v>995.52</v>
      </c>
      <c r="H17" s="19">
        <f t="shared" si="3"/>
        <v>1405.4400000000003</v>
      </c>
      <c r="I17" s="234">
        <f t="shared" si="4"/>
        <v>1756.8000000000002</v>
      </c>
    </row>
    <row r="18" spans="1:15" ht="12.75" customHeight="1" x14ac:dyDescent="0.2">
      <c r="A18" s="237" t="s">
        <v>49</v>
      </c>
      <c r="B18" s="102" t="s">
        <v>36</v>
      </c>
      <c r="C18" s="103">
        <v>24</v>
      </c>
      <c r="D18" s="102"/>
      <c r="E18" s="54">
        <f t="shared" si="0"/>
        <v>146.4</v>
      </c>
      <c r="F18" s="54">
        <f t="shared" si="1"/>
        <v>395.28000000000003</v>
      </c>
      <c r="G18" s="54">
        <f t="shared" si="2"/>
        <v>746.6400000000001</v>
      </c>
      <c r="H18" s="54">
        <f t="shared" si="3"/>
        <v>1054.0800000000002</v>
      </c>
      <c r="I18" s="236">
        <f t="shared" si="4"/>
        <v>1317.6000000000001</v>
      </c>
    </row>
    <row r="19" spans="1:15" ht="12.75" customHeight="1" x14ac:dyDescent="0.2">
      <c r="A19" s="233" t="s">
        <v>174</v>
      </c>
      <c r="B19" s="16" t="s">
        <v>36</v>
      </c>
      <c r="C19" s="97">
        <v>24</v>
      </c>
      <c r="E19" s="19">
        <f t="shared" si="0"/>
        <v>146.4</v>
      </c>
      <c r="F19" s="19">
        <f t="shared" si="1"/>
        <v>395.28000000000003</v>
      </c>
      <c r="G19" s="19">
        <f t="shared" si="2"/>
        <v>746.6400000000001</v>
      </c>
      <c r="H19" s="19">
        <f t="shared" si="3"/>
        <v>1054.0800000000002</v>
      </c>
      <c r="I19" s="234">
        <f t="shared" si="4"/>
        <v>1317.6000000000001</v>
      </c>
    </row>
    <row r="20" spans="1:15" ht="12.75" customHeight="1" x14ac:dyDescent="0.2">
      <c r="A20" s="235" t="s">
        <v>176</v>
      </c>
      <c r="B20" s="102" t="s">
        <v>36</v>
      </c>
      <c r="C20" s="103">
        <v>24</v>
      </c>
      <c r="D20" s="102"/>
      <c r="E20" s="54">
        <f t="shared" si="0"/>
        <v>146.4</v>
      </c>
      <c r="F20" s="54">
        <f t="shared" si="1"/>
        <v>395.28000000000003</v>
      </c>
      <c r="G20" s="54">
        <f t="shared" si="2"/>
        <v>746.6400000000001</v>
      </c>
      <c r="H20" s="54">
        <f t="shared" si="3"/>
        <v>1054.0800000000002</v>
      </c>
      <c r="I20" s="236">
        <f t="shared" si="4"/>
        <v>1317.6000000000001</v>
      </c>
    </row>
    <row r="21" spans="1:15" ht="12.75" customHeight="1" x14ac:dyDescent="0.2">
      <c r="A21" s="233" t="s">
        <v>175</v>
      </c>
      <c r="C21" s="97">
        <v>24</v>
      </c>
      <c r="E21" s="19">
        <f t="shared" si="0"/>
        <v>146.4</v>
      </c>
      <c r="F21" s="19">
        <f t="shared" si="1"/>
        <v>395.28000000000003</v>
      </c>
      <c r="G21" s="19">
        <f t="shared" si="2"/>
        <v>746.6400000000001</v>
      </c>
      <c r="H21" s="19">
        <f t="shared" si="3"/>
        <v>1054.0800000000002</v>
      </c>
      <c r="I21" s="234">
        <f t="shared" si="4"/>
        <v>1317.6000000000001</v>
      </c>
    </row>
    <row r="22" spans="1:15" ht="12.75" customHeight="1" x14ac:dyDescent="0.2">
      <c r="A22" s="235" t="s">
        <v>51</v>
      </c>
      <c r="B22" s="102" t="s">
        <v>36</v>
      </c>
      <c r="C22" s="103">
        <v>24</v>
      </c>
      <c r="D22" s="102"/>
      <c r="E22" s="54">
        <f t="shared" si="0"/>
        <v>146.4</v>
      </c>
      <c r="F22" s="54">
        <f t="shared" si="1"/>
        <v>395.28000000000003</v>
      </c>
      <c r="G22" s="54">
        <f t="shared" si="2"/>
        <v>746.6400000000001</v>
      </c>
      <c r="H22" s="54">
        <f t="shared" si="3"/>
        <v>1054.0800000000002</v>
      </c>
      <c r="I22" s="236">
        <f t="shared" si="4"/>
        <v>1317.6000000000001</v>
      </c>
    </row>
    <row r="23" spans="1:15" ht="12.75" customHeight="1" x14ac:dyDescent="0.2">
      <c r="A23" s="233" t="s">
        <v>53</v>
      </c>
      <c r="C23" s="97">
        <v>24</v>
      </c>
      <c r="E23" s="19">
        <f t="shared" si="0"/>
        <v>146.4</v>
      </c>
      <c r="F23" s="19">
        <f t="shared" si="1"/>
        <v>395.28000000000003</v>
      </c>
      <c r="G23" s="19">
        <f t="shared" si="2"/>
        <v>746.6400000000001</v>
      </c>
      <c r="H23" s="19">
        <f t="shared" si="3"/>
        <v>1054.0800000000002</v>
      </c>
      <c r="I23" s="234">
        <f t="shared" si="4"/>
        <v>1317.6000000000001</v>
      </c>
    </row>
    <row r="24" spans="1:15" ht="12.75" customHeight="1" x14ac:dyDescent="0.2">
      <c r="A24" s="235" t="s">
        <v>56</v>
      </c>
      <c r="B24" s="102"/>
      <c r="C24" s="103">
        <v>24</v>
      </c>
      <c r="D24" s="102"/>
      <c r="E24" s="54">
        <f t="shared" si="0"/>
        <v>146.4</v>
      </c>
      <c r="F24" s="54">
        <f t="shared" si="1"/>
        <v>395.28000000000003</v>
      </c>
      <c r="G24" s="54">
        <f t="shared" si="2"/>
        <v>746.6400000000001</v>
      </c>
      <c r="H24" s="54">
        <f t="shared" si="3"/>
        <v>1054.0800000000002</v>
      </c>
      <c r="I24" s="236">
        <f t="shared" si="4"/>
        <v>1317.6000000000001</v>
      </c>
    </row>
    <row r="25" spans="1:15" ht="12.75" customHeight="1" x14ac:dyDescent="0.2">
      <c r="A25" s="233" t="s">
        <v>178</v>
      </c>
      <c r="C25" s="97">
        <v>24</v>
      </c>
      <c r="E25" s="19">
        <f t="shared" si="0"/>
        <v>146.4</v>
      </c>
      <c r="F25" s="19">
        <f t="shared" si="1"/>
        <v>395.28000000000003</v>
      </c>
      <c r="G25" s="19">
        <f t="shared" si="2"/>
        <v>746.6400000000001</v>
      </c>
      <c r="H25" s="19">
        <f t="shared" si="3"/>
        <v>1054.0800000000002</v>
      </c>
      <c r="I25" s="234">
        <f t="shared" si="4"/>
        <v>1317.6000000000001</v>
      </c>
    </row>
    <row r="26" spans="1:15" ht="12.75" customHeight="1" x14ac:dyDescent="0.2">
      <c r="A26" s="235" t="s">
        <v>61</v>
      </c>
      <c r="B26" s="102"/>
      <c r="C26" s="103">
        <v>24</v>
      </c>
      <c r="D26" s="102"/>
      <c r="E26" s="54">
        <f t="shared" si="0"/>
        <v>146.4</v>
      </c>
      <c r="F26" s="54">
        <f t="shared" si="1"/>
        <v>395.28000000000003</v>
      </c>
      <c r="G26" s="54">
        <f t="shared" si="2"/>
        <v>746.6400000000001</v>
      </c>
      <c r="H26" s="54">
        <f t="shared" si="3"/>
        <v>1054.0800000000002</v>
      </c>
      <c r="I26" s="236">
        <f t="shared" si="4"/>
        <v>1317.6000000000001</v>
      </c>
    </row>
    <row r="27" spans="1:15" x14ac:dyDescent="0.2">
      <c r="A27" s="233" t="s">
        <v>72</v>
      </c>
      <c r="C27" s="98">
        <v>24</v>
      </c>
      <c r="E27" s="19">
        <f t="shared" si="0"/>
        <v>146.4</v>
      </c>
      <c r="F27" s="19">
        <f t="shared" si="1"/>
        <v>395.28000000000003</v>
      </c>
      <c r="G27" s="19">
        <f t="shared" si="2"/>
        <v>746.6400000000001</v>
      </c>
      <c r="H27" s="19">
        <f t="shared" si="3"/>
        <v>1054.0800000000002</v>
      </c>
      <c r="I27" s="234">
        <f t="shared" si="4"/>
        <v>1317.6000000000001</v>
      </c>
    </row>
    <row r="28" spans="1:15" s="8" customFormat="1" x14ac:dyDescent="0.2">
      <c r="A28" s="237" t="s">
        <v>184</v>
      </c>
      <c r="B28" s="102"/>
      <c r="C28" s="103">
        <v>24</v>
      </c>
      <c r="D28" s="102"/>
      <c r="E28" s="54">
        <f t="shared" si="0"/>
        <v>146.4</v>
      </c>
      <c r="F28" s="54">
        <f t="shared" si="1"/>
        <v>395.28000000000003</v>
      </c>
      <c r="G28" s="54">
        <f t="shared" si="2"/>
        <v>746.6400000000001</v>
      </c>
      <c r="H28" s="54">
        <f t="shared" si="3"/>
        <v>1054.0800000000002</v>
      </c>
      <c r="I28" s="236">
        <f t="shared" si="4"/>
        <v>1317.6000000000001</v>
      </c>
      <c r="K28" s="16"/>
      <c r="L28" s="16"/>
      <c r="M28" s="16"/>
      <c r="N28" s="16"/>
      <c r="O28" s="16"/>
    </row>
    <row r="29" spans="1:15" x14ac:dyDescent="0.2">
      <c r="A29" s="198" t="s">
        <v>185</v>
      </c>
      <c r="B29" s="8"/>
      <c r="C29" s="106">
        <v>24</v>
      </c>
      <c r="E29" s="19">
        <f t="shared" si="0"/>
        <v>146.4</v>
      </c>
      <c r="F29" s="19">
        <f t="shared" si="1"/>
        <v>395.28000000000003</v>
      </c>
      <c r="G29" s="19">
        <f t="shared" si="2"/>
        <v>746.6400000000001</v>
      </c>
      <c r="H29" s="19">
        <f t="shared" si="3"/>
        <v>1054.0800000000002</v>
      </c>
      <c r="I29" s="234">
        <f t="shared" si="4"/>
        <v>1317.6000000000001</v>
      </c>
      <c r="K29" s="8"/>
      <c r="L29" s="8"/>
      <c r="M29" s="8"/>
      <c r="N29" s="8"/>
      <c r="O29" s="8"/>
    </row>
    <row r="30" spans="1:15" x14ac:dyDescent="0.2">
      <c r="A30" s="237" t="s">
        <v>100</v>
      </c>
      <c r="B30" s="102"/>
      <c r="C30" s="103">
        <v>24</v>
      </c>
      <c r="D30" s="102"/>
      <c r="E30" s="54">
        <f t="shared" si="0"/>
        <v>146.4</v>
      </c>
      <c r="F30" s="54">
        <f t="shared" si="1"/>
        <v>395.28000000000003</v>
      </c>
      <c r="G30" s="54">
        <f t="shared" si="2"/>
        <v>746.6400000000001</v>
      </c>
      <c r="H30" s="54">
        <f t="shared" si="3"/>
        <v>1054.0800000000002</v>
      </c>
      <c r="I30" s="236">
        <f t="shared" si="4"/>
        <v>1317.6000000000001</v>
      </c>
    </row>
    <row r="31" spans="1:15" x14ac:dyDescent="0.2">
      <c r="A31" s="198" t="s">
        <v>188</v>
      </c>
      <c r="C31" s="97">
        <v>22</v>
      </c>
      <c r="E31" s="19">
        <f t="shared" si="0"/>
        <v>134.20000000000002</v>
      </c>
      <c r="F31" s="19">
        <f t="shared" si="1"/>
        <v>362.34000000000003</v>
      </c>
      <c r="G31" s="19">
        <f t="shared" si="2"/>
        <v>684.42000000000007</v>
      </c>
      <c r="H31" s="19">
        <f t="shared" si="3"/>
        <v>966.24000000000024</v>
      </c>
      <c r="I31" s="234">
        <f t="shared" si="4"/>
        <v>1207.8000000000002</v>
      </c>
    </row>
    <row r="32" spans="1:15" x14ac:dyDescent="0.2">
      <c r="A32" s="235" t="s">
        <v>58</v>
      </c>
      <c r="B32" s="102"/>
      <c r="C32" s="103">
        <v>20</v>
      </c>
      <c r="D32" s="102"/>
      <c r="E32" s="54">
        <f t="shared" si="0"/>
        <v>122</v>
      </c>
      <c r="F32" s="54">
        <f t="shared" si="1"/>
        <v>329.40000000000003</v>
      </c>
      <c r="G32" s="54">
        <f t="shared" si="2"/>
        <v>622.19999999999993</v>
      </c>
      <c r="H32" s="54">
        <f t="shared" si="3"/>
        <v>878.40000000000009</v>
      </c>
      <c r="I32" s="236">
        <f t="shared" si="4"/>
        <v>1098</v>
      </c>
    </row>
    <row r="33" spans="1:15" x14ac:dyDescent="0.2">
      <c r="A33" s="233" t="s">
        <v>77</v>
      </c>
      <c r="C33" s="98">
        <v>20</v>
      </c>
      <c r="E33" s="19">
        <f t="shared" si="0"/>
        <v>122</v>
      </c>
      <c r="F33" s="19">
        <f t="shared" si="1"/>
        <v>329.40000000000003</v>
      </c>
      <c r="G33" s="19">
        <f t="shared" si="2"/>
        <v>622.19999999999993</v>
      </c>
      <c r="H33" s="19">
        <f t="shared" si="3"/>
        <v>878.40000000000009</v>
      </c>
      <c r="I33" s="234">
        <f t="shared" si="4"/>
        <v>1098</v>
      </c>
    </row>
    <row r="34" spans="1:15" x14ac:dyDescent="0.2">
      <c r="A34" s="235" t="s">
        <v>68</v>
      </c>
      <c r="B34" s="102"/>
      <c r="C34" s="103">
        <v>20</v>
      </c>
      <c r="D34" s="102"/>
      <c r="E34" s="54">
        <f t="shared" si="0"/>
        <v>122</v>
      </c>
      <c r="F34" s="54">
        <f t="shared" si="1"/>
        <v>329.40000000000003</v>
      </c>
      <c r="G34" s="54">
        <f t="shared" si="2"/>
        <v>622.19999999999993</v>
      </c>
      <c r="H34" s="54">
        <f t="shared" si="3"/>
        <v>878.40000000000009</v>
      </c>
      <c r="I34" s="236">
        <f t="shared" si="4"/>
        <v>1098</v>
      </c>
    </row>
    <row r="35" spans="1:15" x14ac:dyDescent="0.2">
      <c r="A35" s="233" t="s">
        <v>182</v>
      </c>
      <c r="C35" s="97">
        <v>18</v>
      </c>
      <c r="E35" s="19">
        <f t="shared" si="0"/>
        <v>109.80000000000001</v>
      </c>
      <c r="F35" s="19">
        <f t="shared" si="1"/>
        <v>296.46000000000004</v>
      </c>
      <c r="G35" s="19">
        <f t="shared" si="2"/>
        <v>559.98</v>
      </c>
      <c r="H35" s="19">
        <f t="shared" si="3"/>
        <v>790.56000000000006</v>
      </c>
      <c r="I35" s="234">
        <f t="shared" si="4"/>
        <v>988.2</v>
      </c>
    </row>
    <row r="36" spans="1:15" x14ac:dyDescent="0.2">
      <c r="A36" s="235" t="s">
        <v>94</v>
      </c>
      <c r="B36" s="102"/>
      <c r="C36" s="103">
        <v>16</v>
      </c>
      <c r="D36" s="102"/>
      <c r="E36" s="54">
        <f t="shared" si="0"/>
        <v>97.600000000000009</v>
      </c>
      <c r="F36" s="54">
        <f t="shared" si="1"/>
        <v>263.52000000000004</v>
      </c>
      <c r="G36" s="54">
        <f t="shared" si="2"/>
        <v>497.76</v>
      </c>
      <c r="H36" s="54">
        <f t="shared" si="3"/>
        <v>702.72000000000014</v>
      </c>
      <c r="I36" s="236">
        <f t="shared" si="4"/>
        <v>878.40000000000009</v>
      </c>
    </row>
    <row r="37" spans="1:15" x14ac:dyDescent="0.2">
      <c r="A37" s="238" t="s">
        <v>101</v>
      </c>
      <c r="C37" s="97">
        <v>16</v>
      </c>
      <c r="E37" s="19">
        <f t="shared" si="0"/>
        <v>97.600000000000009</v>
      </c>
      <c r="F37" s="19">
        <f t="shared" si="1"/>
        <v>263.52000000000004</v>
      </c>
      <c r="G37" s="19">
        <f t="shared" si="2"/>
        <v>497.76</v>
      </c>
      <c r="H37" s="19">
        <f t="shared" si="3"/>
        <v>702.72000000000014</v>
      </c>
      <c r="I37" s="234">
        <f t="shared" si="4"/>
        <v>878.40000000000009</v>
      </c>
    </row>
    <row r="38" spans="1:15" x14ac:dyDescent="0.2">
      <c r="A38" s="239" t="s">
        <v>193</v>
      </c>
      <c r="B38" s="102"/>
      <c r="C38" s="103">
        <v>16</v>
      </c>
      <c r="D38" s="102"/>
      <c r="E38" s="54">
        <f t="shared" si="0"/>
        <v>97.600000000000009</v>
      </c>
      <c r="F38" s="54">
        <f t="shared" si="1"/>
        <v>263.52000000000004</v>
      </c>
      <c r="G38" s="54">
        <f t="shared" si="2"/>
        <v>497.76</v>
      </c>
      <c r="H38" s="54">
        <f t="shared" si="3"/>
        <v>702.72000000000014</v>
      </c>
      <c r="I38" s="236">
        <f t="shared" si="4"/>
        <v>878.40000000000009</v>
      </c>
    </row>
    <row r="39" spans="1:15" x14ac:dyDescent="0.2">
      <c r="A39" s="233" t="s">
        <v>177</v>
      </c>
      <c r="C39" s="97">
        <v>14</v>
      </c>
      <c r="E39" s="19">
        <f t="shared" si="0"/>
        <v>85.4</v>
      </c>
      <c r="F39" s="19">
        <f t="shared" si="1"/>
        <v>230.58000000000004</v>
      </c>
      <c r="G39" s="19">
        <f t="shared" si="2"/>
        <v>435.54000000000008</v>
      </c>
      <c r="H39" s="19">
        <f t="shared" si="3"/>
        <v>614.88000000000011</v>
      </c>
      <c r="I39" s="234">
        <f t="shared" si="4"/>
        <v>768.60000000000014</v>
      </c>
    </row>
    <row r="40" spans="1:15" x14ac:dyDescent="0.2">
      <c r="A40" s="237" t="s">
        <v>186</v>
      </c>
      <c r="B40" s="102"/>
      <c r="C40" s="103">
        <v>14</v>
      </c>
      <c r="D40" s="102"/>
      <c r="E40" s="54">
        <f t="shared" si="0"/>
        <v>85.4</v>
      </c>
      <c r="F40" s="54">
        <f t="shared" si="1"/>
        <v>230.58000000000004</v>
      </c>
      <c r="G40" s="54">
        <f t="shared" si="2"/>
        <v>435.54000000000008</v>
      </c>
      <c r="H40" s="54">
        <f t="shared" si="3"/>
        <v>614.88000000000011</v>
      </c>
      <c r="I40" s="236">
        <f t="shared" si="4"/>
        <v>768.60000000000014</v>
      </c>
    </row>
    <row r="41" spans="1:15" x14ac:dyDescent="0.2">
      <c r="A41" s="233" t="s">
        <v>173</v>
      </c>
      <c r="C41" s="97">
        <v>12</v>
      </c>
      <c r="E41" s="19">
        <f t="shared" si="0"/>
        <v>73.2</v>
      </c>
      <c r="F41" s="19">
        <f t="shared" si="1"/>
        <v>197.64000000000001</v>
      </c>
      <c r="G41" s="19">
        <f t="shared" si="2"/>
        <v>373.32000000000005</v>
      </c>
      <c r="H41" s="19">
        <f t="shared" si="3"/>
        <v>527.04000000000008</v>
      </c>
      <c r="I41" s="234">
        <f t="shared" si="4"/>
        <v>658.80000000000007</v>
      </c>
    </row>
    <row r="42" spans="1:15" s="8" customFormat="1" x14ac:dyDescent="0.2">
      <c r="A42" s="235" t="s">
        <v>179</v>
      </c>
      <c r="B42" s="102"/>
      <c r="C42" s="105">
        <v>12</v>
      </c>
      <c r="D42" s="102"/>
      <c r="E42" s="54">
        <f t="shared" si="0"/>
        <v>73.2</v>
      </c>
      <c r="F42" s="54">
        <f t="shared" si="1"/>
        <v>197.64000000000001</v>
      </c>
      <c r="G42" s="54">
        <f t="shared" si="2"/>
        <v>373.32000000000005</v>
      </c>
      <c r="H42" s="54">
        <f t="shared" si="3"/>
        <v>527.04000000000008</v>
      </c>
      <c r="I42" s="236">
        <f t="shared" si="4"/>
        <v>658.80000000000007</v>
      </c>
      <c r="K42" s="16"/>
      <c r="L42" s="16"/>
      <c r="M42" s="16"/>
      <c r="N42" s="16"/>
      <c r="O42" s="16"/>
    </row>
    <row r="43" spans="1:15" x14ac:dyDescent="0.2">
      <c r="A43" s="198" t="s">
        <v>192</v>
      </c>
      <c r="B43" s="8"/>
      <c r="C43" s="106">
        <v>12</v>
      </c>
      <c r="E43" s="19">
        <f t="shared" si="0"/>
        <v>73.2</v>
      </c>
      <c r="F43" s="19">
        <f t="shared" si="1"/>
        <v>197.64000000000001</v>
      </c>
      <c r="G43" s="19">
        <f t="shared" si="2"/>
        <v>373.32000000000005</v>
      </c>
      <c r="H43" s="19">
        <f t="shared" si="3"/>
        <v>527.04000000000008</v>
      </c>
      <c r="I43" s="234">
        <f t="shared" si="4"/>
        <v>658.80000000000007</v>
      </c>
      <c r="K43" s="8"/>
      <c r="L43" s="8"/>
      <c r="M43" s="8"/>
      <c r="N43" s="8"/>
      <c r="O43" s="8"/>
    </row>
    <row r="44" spans="1:15" x14ac:dyDescent="0.2">
      <c r="A44" s="237" t="s">
        <v>189</v>
      </c>
      <c r="B44" s="102"/>
      <c r="C44" s="103">
        <v>8</v>
      </c>
      <c r="D44" s="102"/>
      <c r="E44" s="54">
        <f t="shared" si="0"/>
        <v>48.800000000000004</v>
      </c>
      <c r="F44" s="54">
        <f t="shared" si="1"/>
        <v>131.76000000000002</v>
      </c>
      <c r="G44" s="54">
        <f t="shared" si="2"/>
        <v>248.88</v>
      </c>
      <c r="H44" s="54">
        <f t="shared" si="3"/>
        <v>351.36000000000007</v>
      </c>
      <c r="I44" s="236">
        <f t="shared" si="4"/>
        <v>439.20000000000005</v>
      </c>
    </row>
    <row r="45" spans="1:15" x14ac:dyDescent="0.2">
      <c r="A45" s="233" t="s">
        <v>183</v>
      </c>
      <c r="C45" s="97">
        <v>8</v>
      </c>
      <c r="E45" s="19">
        <f t="shared" si="0"/>
        <v>48.800000000000004</v>
      </c>
      <c r="F45" s="19">
        <f t="shared" si="1"/>
        <v>131.76000000000002</v>
      </c>
      <c r="G45" s="19">
        <f t="shared" si="2"/>
        <v>248.88</v>
      </c>
      <c r="H45" s="19">
        <f t="shared" si="3"/>
        <v>351.36000000000007</v>
      </c>
      <c r="I45" s="234">
        <f t="shared" si="4"/>
        <v>439.20000000000005</v>
      </c>
    </row>
    <row r="46" spans="1:15" x14ac:dyDescent="0.2">
      <c r="A46" s="237" t="s">
        <v>191</v>
      </c>
      <c r="B46" s="102"/>
      <c r="C46" s="103">
        <v>6</v>
      </c>
      <c r="D46" s="102"/>
      <c r="E46" s="54">
        <f t="shared" si="0"/>
        <v>36.6</v>
      </c>
      <c r="F46" s="54">
        <f t="shared" si="1"/>
        <v>98.820000000000007</v>
      </c>
      <c r="G46" s="54">
        <f t="shared" si="2"/>
        <v>186.66000000000003</v>
      </c>
      <c r="H46" s="54">
        <f t="shared" si="3"/>
        <v>263.52000000000004</v>
      </c>
      <c r="I46" s="236">
        <f t="shared" si="4"/>
        <v>329.40000000000003</v>
      </c>
    </row>
    <row r="47" spans="1:15" ht="12.6" customHeight="1" x14ac:dyDescent="0.2">
      <c r="A47" s="198" t="s">
        <v>187</v>
      </c>
      <c r="C47" s="97">
        <v>6</v>
      </c>
      <c r="E47" s="19">
        <f>30.5*C47*0.2</f>
        <v>36.6</v>
      </c>
      <c r="F47" s="19">
        <f>(E47*3)*0.9</f>
        <v>98.820000000000007</v>
      </c>
      <c r="G47" s="19">
        <f>(E47*6)*0.85</f>
        <v>186.66000000000003</v>
      </c>
      <c r="H47" s="19">
        <f>(E47*9)*0.8</f>
        <v>263.52000000000004</v>
      </c>
      <c r="I47" s="234">
        <f>(E47*12)*0.75</f>
        <v>329.40000000000003</v>
      </c>
    </row>
    <row r="48" spans="1:15" ht="12.75" customHeight="1" thickBot="1" x14ac:dyDescent="0.25">
      <c r="A48" s="240" t="s">
        <v>133</v>
      </c>
      <c r="B48" s="241"/>
      <c r="C48" s="242">
        <f>SUM(C3:C47)</f>
        <v>1138</v>
      </c>
      <c r="D48" s="243"/>
      <c r="E48" s="244">
        <f>SUM(E3:E47)</f>
        <v>6941.7999999999965</v>
      </c>
      <c r="F48" s="244">
        <f>SUM(F3:F47)</f>
        <v>18742.860000000011</v>
      </c>
      <c r="G48" s="244">
        <f>SUM(G3:G47)</f>
        <v>35403.179999999986</v>
      </c>
      <c r="H48" s="244">
        <f>SUM(H3:H47)</f>
        <v>49980.960000000006</v>
      </c>
      <c r="I48" s="245">
        <f>SUM(I3:I47)</f>
        <v>62476.19999999999</v>
      </c>
    </row>
    <row r="51" spans="1:3" ht="12.75" customHeight="1" x14ac:dyDescent="0.2">
      <c r="A51" s="1"/>
    </row>
    <row r="52" spans="1:3" ht="12.75" customHeight="1" x14ac:dyDescent="0.2">
      <c r="A52" s="9"/>
    </row>
    <row r="53" spans="1:3" ht="12.75" customHeight="1" x14ac:dyDescent="0.2">
      <c r="A53" s="1"/>
    </row>
    <row r="54" spans="1:3" ht="12.75" customHeight="1" x14ac:dyDescent="0.2">
      <c r="A54" s="1"/>
    </row>
    <row r="56" spans="1:3" ht="12.75" customHeight="1" x14ac:dyDescent="0.2">
      <c r="A56" s="1"/>
    </row>
    <row r="57" spans="1:3" ht="12.75" customHeight="1" x14ac:dyDescent="0.2">
      <c r="A57" s="3"/>
    </row>
    <row r="61" spans="1:3" ht="12.75" customHeight="1" x14ac:dyDescent="0.2">
      <c r="C61" s="100"/>
    </row>
    <row r="62" spans="1:3" ht="12.75" customHeight="1" x14ac:dyDescent="0.2">
      <c r="C62" s="101"/>
    </row>
    <row r="63" spans="1:3" ht="12.75" customHeight="1" x14ac:dyDescent="0.2">
      <c r="C63" s="98"/>
    </row>
    <row r="64" spans="1:3" ht="12.75" customHeight="1" x14ac:dyDescent="0.2">
      <c r="C64" s="98"/>
    </row>
    <row r="65" spans="1:4" ht="12.75" customHeight="1" x14ac:dyDescent="0.2">
      <c r="C65" s="98"/>
    </row>
    <row r="66" spans="1:4" ht="12.75" customHeight="1" x14ac:dyDescent="0.2">
      <c r="A66" s="2"/>
    </row>
    <row r="67" spans="1:4" ht="12.75" customHeight="1" x14ac:dyDescent="0.2">
      <c r="A67" s="1"/>
    </row>
    <row r="68" spans="1:4" ht="12.75" customHeight="1" x14ac:dyDescent="0.2">
      <c r="C68" s="98"/>
    </row>
    <row r="70" spans="1:4" ht="12.75" customHeight="1" x14ac:dyDescent="0.2">
      <c r="D70" s="25"/>
    </row>
    <row r="71" spans="1:4" ht="12.75" customHeight="1" x14ac:dyDescent="0.2">
      <c r="A71" s="2"/>
    </row>
    <row r="72" spans="1:4" ht="12.75" customHeight="1" x14ac:dyDescent="0.2">
      <c r="A72" s="9"/>
    </row>
    <row r="73" spans="1:4" ht="12.75" customHeight="1" x14ac:dyDescent="0.2">
      <c r="A73" s="1"/>
      <c r="C73" s="98"/>
    </row>
  </sheetData>
  <autoFilter ref="A2:I48">
    <sortState ref="A2:I80">
      <sortCondition descending="1" ref="C1:C80"/>
    </sortState>
  </autoFilter>
  <mergeCells count="1">
    <mergeCell ref="A1:I1"/>
  </mergeCells>
  <pageMargins left="0.7" right="0.7" top="0.75" bottom="0.75" header="0.3" footer="0.3"/>
  <pageSetup paperSize="1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83"/>
  <sheetViews>
    <sheetView zoomScale="90" zoomScaleNormal="90" workbookViewId="0">
      <selection activeCell="C17" sqref="C17"/>
    </sheetView>
  </sheetViews>
  <sheetFormatPr defaultColWidth="9.140625" defaultRowHeight="12.75" customHeight="1" x14ac:dyDescent="0.2"/>
  <cols>
    <col min="1" max="1" width="60.28515625" style="10" customWidth="1"/>
    <col min="2" max="2" width="15.5703125" style="8" hidden="1" customWidth="1"/>
    <col min="3" max="3" width="12.7109375" style="8" customWidth="1"/>
    <col min="4" max="4" width="16" style="27" customWidth="1"/>
    <col min="5" max="5" width="17" style="28" customWidth="1"/>
    <col min="6" max="6" width="16.7109375" style="28" customWidth="1"/>
    <col min="7" max="7" width="13.42578125" style="8" customWidth="1"/>
    <col min="8" max="8" width="10.7109375" style="8" customWidth="1"/>
    <col min="9" max="9" width="17.28515625" style="8" customWidth="1"/>
    <col min="10" max="10" width="23.7109375" style="8" customWidth="1"/>
    <col min="11" max="16384" width="9.140625" style="8"/>
  </cols>
  <sheetData>
    <row r="1" spans="1:10" ht="53.25" customHeight="1" thickBot="1" x14ac:dyDescent="0.25">
      <c r="A1" s="320" t="s">
        <v>377</v>
      </c>
      <c r="B1" s="321"/>
      <c r="C1" s="321"/>
      <c r="D1" s="321"/>
      <c r="E1" s="321"/>
      <c r="F1" s="321"/>
      <c r="G1" s="321"/>
      <c r="H1" s="321"/>
      <c r="I1" s="321"/>
      <c r="J1" s="322"/>
    </row>
    <row r="2" spans="1:10" s="22" customFormat="1" ht="87" customHeight="1" x14ac:dyDescent="0.2">
      <c r="A2" s="210" t="s">
        <v>37</v>
      </c>
      <c r="B2" s="211" t="s">
        <v>35</v>
      </c>
      <c r="C2" s="211" t="s">
        <v>124</v>
      </c>
      <c r="D2" s="213" t="s">
        <v>134</v>
      </c>
      <c r="E2" s="213" t="s">
        <v>129</v>
      </c>
      <c r="F2" s="213" t="s">
        <v>130</v>
      </c>
      <c r="G2" s="211" t="s">
        <v>2</v>
      </c>
      <c r="H2" s="211" t="s">
        <v>3</v>
      </c>
      <c r="I2" s="211" t="s">
        <v>131</v>
      </c>
      <c r="J2" s="232" t="s">
        <v>368</v>
      </c>
    </row>
    <row r="3" spans="1:10" ht="12.75" customHeight="1" x14ac:dyDescent="0.2">
      <c r="A3" s="246" t="s">
        <v>133</v>
      </c>
      <c r="B3" s="32"/>
      <c r="C3" s="107">
        <f>SUM(C4:C24)</f>
        <v>555</v>
      </c>
      <c r="D3" s="107">
        <f>SUM(D4:D80)</f>
        <v>20771037</v>
      </c>
      <c r="E3" s="107">
        <f>SUM(E4:E80)</f>
        <v>1731445</v>
      </c>
      <c r="F3" s="107">
        <f>SUM(F4:F80)</f>
        <v>2408165007</v>
      </c>
      <c r="G3" s="32" t="s">
        <v>135</v>
      </c>
      <c r="H3" s="32">
        <v>15</v>
      </c>
      <c r="I3" s="99">
        <f>SUM(I4:I24)</f>
        <v>128222.18399999999</v>
      </c>
      <c r="J3" s="247">
        <f>(SUM(J4:J24))/2</f>
        <v>72124.978500000012</v>
      </c>
    </row>
    <row r="4" spans="1:10" ht="12.75" customHeight="1" x14ac:dyDescent="0.2">
      <c r="A4" s="196" t="s">
        <v>63</v>
      </c>
      <c r="B4" s="112"/>
      <c r="C4" s="112">
        <f>65</f>
        <v>65</v>
      </c>
      <c r="D4" s="113">
        <f>1994265+613620</f>
        <v>2607885</v>
      </c>
      <c r="E4" s="114">
        <f>51140+166205</f>
        <v>217345</v>
      </c>
      <c r="F4" s="114">
        <f>239335200+73641600</f>
        <v>312976800</v>
      </c>
      <c r="G4" s="115">
        <v>25</v>
      </c>
      <c r="H4" s="112">
        <v>15</v>
      </c>
      <c r="I4" s="63">
        <f>0.8*15647.31</f>
        <v>12517.848</v>
      </c>
      <c r="J4" s="248">
        <f>0.9*15647.31</f>
        <v>14082.579</v>
      </c>
    </row>
    <row r="5" spans="1:10" ht="12.75" customHeight="1" x14ac:dyDescent="0.2">
      <c r="A5" s="233" t="s">
        <v>280</v>
      </c>
      <c r="B5" s="8" t="s">
        <v>36</v>
      </c>
      <c r="C5" s="8">
        <f>26</f>
        <v>26</v>
      </c>
      <c r="D5" s="23">
        <f>1012473+1288602</f>
        <v>2301075</v>
      </c>
      <c r="E5" s="24">
        <f>107394+84381</f>
        <v>191775</v>
      </c>
      <c r="F5" s="24">
        <f>121508640+154647360</f>
        <v>276156000</v>
      </c>
      <c r="G5" s="25">
        <v>25</v>
      </c>
      <c r="H5" s="8">
        <v>15</v>
      </c>
      <c r="I5" s="19">
        <f>0.8*18408.6</f>
        <v>14726.88</v>
      </c>
      <c r="J5" s="234">
        <f>0.9*18408.6</f>
        <v>16567.739999999998</v>
      </c>
    </row>
    <row r="6" spans="1:10" ht="12.75" customHeight="1" x14ac:dyDescent="0.2">
      <c r="A6" s="196" t="s">
        <v>60</v>
      </c>
      <c r="B6" s="112"/>
      <c r="C6" s="112">
        <v>58</v>
      </c>
      <c r="D6" s="113">
        <v>1779498</v>
      </c>
      <c r="E6" s="114">
        <v>148306</v>
      </c>
      <c r="F6" s="114">
        <v>213560640</v>
      </c>
      <c r="G6" s="115">
        <v>25</v>
      </c>
      <c r="H6" s="112">
        <v>15</v>
      </c>
      <c r="I6" s="63">
        <f>0.8*14235.98</f>
        <v>11388.784</v>
      </c>
      <c r="J6" s="248">
        <f>0.9*14235.98</f>
        <v>12812.382</v>
      </c>
    </row>
    <row r="7" spans="1:10" ht="12.75" customHeight="1" x14ac:dyDescent="0.2">
      <c r="A7" s="198" t="s">
        <v>89</v>
      </c>
      <c r="C7" s="8">
        <v>51</v>
      </c>
      <c r="D7" s="23">
        <v>1349964</v>
      </c>
      <c r="E7" s="24">
        <v>112508</v>
      </c>
      <c r="F7" s="24">
        <v>162011520</v>
      </c>
      <c r="G7" s="25">
        <v>25</v>
      </c>
      <c r="H7" s="8">
        <v>15</v>
      </c>
      <c r="I7" s="19">
        <f>0.8*12517.85</f>
        <v>10014.280000000001</v>
      </c>
      <c r="J7" s="234">
        <f>0.9*12517.85</f>
        <v>11266.065000000001</v>
      </c>
    </row>
    <row r="8" spans="1:10" ht="12.75" customHeight="1" x14ac:dyDescent="0.2">
      <c r="A8" s="196" t="s">
        <v>125</v>
      </c>
      <c r="B8" s="112"/>
      <c r="C8" s="112">
        <v>41</v>
      </c>
      <c r="D8" s="116">
        <v>1257921</v>
      </c>
      <c r="E8" s="114">
        <v>104837</v>
      </c>
      <c r="F8" s="114">
        <v>150965280</v>
      </c>
      <c r="G8" s="115">
        <v>25</v>
      </c>
      <c r="H8" s="112">
        <v>15</v>
      </c>
      <c r="I8" s="63">
        <f>0.8*10063.37</f>
        <v>8050.6960000000008</v>
      </c>
      <c r="J8" s="248">
        <f>0.9*10063.37</f>
        <v>9057.0330000000013</v>
      </c>
    </row>
    <row r="9" spans="1:10" ht="12.75" customHeight="1" x14ac:dyDescent="0.2">
      <c r="A9" s="233" t="s">
        <v>264</v>
      </c>
      <c r="B9" s="8" t="s">
        <v>36</v>
      </c>
      <c r="C9" s="8">
        <v>37</v>
      </c>
      <c r="D9" s="23">
        <f>30681+1135197</f>
        <v>1165878</v>
      </c>
      <c r="E9" s="24">
        <f>94609+2557</f>
        <v>97166</v>
      </c>
      <c r="F9" s="24">
        <f>3682080+136236960</f>
        <v>139919040</v>
      </c>
      <c r="G9" s="25">
        <v>25</v>
      </c>
      <c r="H9" s="8">
        <v>15</v>
      </c>
      <c r="I9" s="19">
        <f>0.8*9327.02</f>
        <v>7461.6160000000009</v>
      </c>
      <c r="J9" s="234">
        <f>0.9*9327.02</f>
        <v>8394.3180000000011</v>
      </c>
    </row>
    <row r="10" spans="1:10" ht="12.75" customHeight="1" x14ac:dyDescent="0.2">
      <c r="A10" s="196" t="s">
        <v>281</v>
      </c>
      <c r="B10" s="112" t="s">
        <v>36</v>
      </c>
      <c r="C10" s="112">
        <v>31</v>
      </c>
      <c r="D10" s="117">
        <f>859068+306810</f>
        <v>1165878</v>
      </c>
      <c r="E10" s="114">
        <f>71596+25570</f>
        <v>97166</v>
      </c>
      <c r="F10" s="114">
        <f>36820800+103098240</f>
        <v>139919040</v>
      </c>
      <c r="G10" s="115">
        <v>25</v>
      </c>
      <c r="H10" s="112">
        <v>15</v>
      </c>
      <c r="I10" s="63">
        <f>0.8*8836.13</f>
        <v>7068.9039999999995</v>
      </c>
      <c r="J10" s="248">
        <f>0.9*8836.13</f>
        <v>7952.5169999999998</v>
      </c>
    </row>
    <row r="11" spans="1:10" ht="12.6" customHeight="1" x14ac:dyDescent="0.2">
      <c r="A11" s="233" t="s">
        <v>282</v>
      </c>
      <c r="C11" s="8">
        <f>28</f>
        <v>28</v>
      </c>
      <c r="D11" s="108">
        <f>859068+306810</f>
        <v>1165878</v>
      </c>
      <c r="E11" s="24">
        <f>71596+25570</f>
        <v>97166</v>
      </c>
      <c r="F11" s="24">
        <f>36820800+103098240</f>
        <v>139919040</v>
      </c>
      <c r="G11" s="25">
        <v>25</v>
      </c>
      <c r="H11" s="8">
        <v>15</v>
      </c>
      <c r="I11" s="19">
        <f>0.8*8836.13</f>
        <v>7068.9039999999995</v>
      </c>
      <c r="J11" s="234">
        <f>0.9*8836.13</f>
        <v>7952.5169999999998</v>
      </c>
    </row>
    <row r="12" spans="1:10" ht="12.6" customHeight="1" x14ac:dyDescent="0.2">
      <c r="A12" s="196" t="s">
        <v>283</v>
      </c>
      <c r="B12" s="112" t="s">
        <v>36</v>
      </c>
      <c r="C12" s="112">
        <v>33</v>
      </c>
      <c r="D12" s="113">
        <f>1012473+30681</f>
        <v>1043154</v>
      </c>
      <c r="E12" s="114">
        <f>84381+2557</f>
        <v>86938</v>
      </c>
      <c r="F12" s="114">
        <f>121508640+3682080</f>
        <v>125190720</v>
      </c>
      <c r="G12" s="115">
        <v>25</v>
      </c>
      <c r="H12" s="112">
        <v>15</v>
      </c>
      <c r="I12" s="63">
        <f>0.8*8345.32</f>
        <v>6676.2560000000003</v>
      </c>
      <c r="J12" s="248">
        <f>0.9*8345.32</f>
        <v>7510.7879999999996</v>
      </c>
    </row>
    <row r="13" spans="1:10" ht="12.75" customHeight="1" x14ac:dyDescent="0.2">
      <c r="A13" s="198" t="s">
        <v>284</v>
      </c>
      <c r="C13" s="8">
        <v>33</v>
      </c>
      <c r="D13" s="26">
        <f>30681+1012473</f>
        <v>1043154</v>
      </c>
      <c r="E13" s="24">
        <f>84381+2557</f>
        <v>86938</v>
      </c>
      <c r="F13" s="24">
        <f>3682080+121508640</f>
        <v>125190720</v>
      </c>
      <c r="G13" s="25">
        <v>25</v>
      </c>
      <c r="H13" s="8">
        <v>15</v>
      </c>
      <c r="I13" s="19">
        <f>0.8*8345.32</f>
        <v>6676.2560000000003</v>
      </c>
      <c r="J13" s="234">
        <f>0.9*8345.32</f>
        <v>7510.7879999999996</v>
      </c>
    </row>
    <row r="14" spans="1:10" ht="12.75" customHeight="1" x14ac:dyDescent="0.2">
      <c r="A14" s="196" t="s">
        <v>72</v>
      </c>
      <c r="B14" s="112"/>
      <c r="C14" s="112">
        <f>16</f>
        <v>16</v>
      </c>
      <c r="D14" s="116">
        <f>398853+490896</f>
        <v>889749</v>
      </c>
      <c r="E14" s="114">
        <f>40912+33241</f>
        <v>74153</v>
      </c>
      <c r="F14" s="114">
        <f>47867040+58913280</f>
        <v>106780320</v>
      </c>
      <c r="G14" s="115">
        <v>25</v>
      </c>
      <c r="H14" s="112">
        <v>15</v>
      </c>
      <c r="I14" s="63">
        <f>7117.99*0.8</f>
        <v>5694.3919999999998</v>
      </c>
      <c r="J14" s="248">
        <f>7117.99*0.9</f>
        <v>6406.1909999999998</v>
      </c>
    </row>
    <row r="15" spans="1:10" ht="12.75" customHeight="1" x14ac:dyDescent="0.2">
      <c r="A15" s="233" t="s">
        <v>285</v>
      </c>
      <c r="C15" s="8">
        <f>23</f>
        <v>23</v>
      </c>
      <c r="D15" s="23">
        <f>122724+705663</f>
        <v>828387</v>
      </c>
      <c r="E15" s="24">
        <f>10228+58811</f>
        <v>69039</v>
      </c>
      <c r="F15" s="24">
        <f>14728320+84687840</f>
        <v>99416160</v>
      </c>
      <c r="G15" s="25">
        <v>25</v>
      </c>
      <c r="H15" s="109">
        <v>15</v>
      </c>
      <c r="I15" s="19">
        <f>0.8*6627.1</f>
        <v>5301.68</v>
      </c>
      <c r="J15" s="234">
        <f>0.9*6627.1</f>
        <v>5964.39</v>
      </c>
    </row>
    <row r="16" spans="1:10" ht="12.75" customHeight="1" x14ac:dyDescent="0.2">
      <c r="A16" s="196" t="s">
        <v>286</v>
      </c>
      <c r="B16" s="112"/>
      <c r="C16" s="112">
        <v>16</v>
      </c>
      <c r="D16" s="117">
        <f>337491+460215</f>
        <v>797706</v>
      </c>
      <c r="E16" s="114">
        <f>28127+38355</f>
        <v>66482</v>
      </c>
      <c r="F16" s="114">
        <f>40502880+55231200</f>
        <v>95734080</v>
      </c>
      <c r="G16" s="115">
        <v>25</v>
      </c>
      <c r="H16" s="112">
        <v>15</v>
      </c>
      <c r="I16" s="63">
        <f>0.8*6627.1</f>
        <v>5301.68</v>
      </c>
      <c r="J16" s="248">
        <f>0.9*6627.1</f>
        <v>5964.39</v>
      </c>
    </row>
    <row r="17" spans="1:10" ht="12.75" customHeight="1" x14ac:dyDescent="0.2">
      <c r="A17" s="238" t="s">
        <v>102</v>
      </c>
      <c r="C17" s="8">
        <v>23</v>
      </c>
      <c r="D17" s="23">
        <v>705663</v>
      </c>
      <c r="E17" s="24">
        <v>58811</v>
      </c>
      <c r="F17" s="24">
        <v>84687</v>
      </c>
      <c r="G17" s="25">
        <v>25</v>
      </c>
      <c r="H17" s="8">
        <v>15</v>
      </c>
      <c r="I17" s="19">
        <f>4233.98*0.8</f>
        <v>3387.1839999999997</v>
      </c>
      <c r="J17" s="234">
        <f>4233.98*0.9</f>
        <v>3810.5819999999999</v>
      </c>
    </row>
    <row r="18" spans="1:10" ht="12.75" customHeight="1" x14ac:dyDescent="0.2">
      <c r="A18" s="196" t="s">
        <v>287</v>
      </c>
      <c r="B18" s="112"/>
      <c r="C18" s="112">
        <v>11</v>
      </c>
      <c r="D18" s="113">
        <f>306810+337491</f>
        <v>644301</v>
      </c>
      <c r="E18" s="114">
        <f>25570+28127</f>
        <v>53697</v>
      </c>
      <c r="F18" s="114">
        <f>40502880+36820800</f>
        <v>77323680</v>
      </c>
      <c r="G18" s="115">
        <v>25</v>
      </c>
      <c r="H18" s="112">
        <v>15</v>
      </c>
      <c r="I18" s="63">
        <f>5154.41*0.8</f>
        <v>4123.5280000000002</v>
      </c>
      <c r="J18" s="248">
        <f>5154.41*0.9</f>
        <v>4638.9690000000001</v>
      </c>
    </row>
    <row r="19" spans="1:10" ht="12.75" customHeight="1" x14ac:dyDescent="0.2">
      <c r="A19" s="233" t="s">
        <v>288</v>
      </c>
      <c r="C19" s="8">
        <v>18</v>
      </c>
      <c r="D19" s="23">
        <f>61362+552258</f>
        <v>613620</v>
      </c>
      <c r="E19" s="110">
        <f>5114+46026</f>
        <v>51140</v>
      </c>
      <c r="F19" s="110">
        <f>7364160+66277440</f>
        <v>73641600</v>
      </c>
      <c r="G19" s="111">
        <v>25</v>
      </c>
      <c r="H19" s="109">
        <v>15</v>
      </c>
      <c r="I19" s="19">
        <f>0.8*4908.96</f>
        <v>3927.1680000000001</v>
      </c>
      <c r="J19" s="234">
        <f>0.9*4908.96</f>
        <v>4418.0640000000003</v>
      </c>
    </row>
    <row r="20" spans="1:10" ht="12.75" customHeight="1" x14ac:dyDescent="0.2">
      <c r="A20" s="196" t="s">
        <v>55</v>
      </c>
      <c r="B20" s="112"/>
      <c r="C20" s="112">
        <v>20</v>
      </c>
      <c r="D20" s="113">
        <v>613620</v>
      </c>
      <c r="E20" s="114">
        <v>51140</v>
      </c>
      <c r="F20" s="114">
        <v>73641600</v>
      </c>
      <c r="G20" s="115">
        <v>25</v>
      </c>
      <c r="H20" s="112">
        <v>15</v>
      </c>
      <c r="I20" s="63">
        <f>0.8*4908.96</f>
        <v>3927.1680000000001</v>
      </c>
      <c r="J20" s="248">
        <f>0.9*4908.96</f>
        <v>4418.0640000000003</v>
      </c>
    </row>
    <row r="21" spans="1:10" ht="12.75" customHeight="1" x14ac:dyDescent="0.2">
      <c r="A21" s="198" t="s">
        <v>289</v>
      </c>
      <c r="B21" s="8" t="s">
        <v>36</v>
      </c>
      <c r="C21" s="8">
        <v>19</v>
      </c>
      <c r="D21" s="23">
        <f>30681+582939</f>
        <v>613620</v>
      </c>
      <c r="E21" s="24">
        <f>2557+48939</f>
        <v>51496</v>
      </c>
      <c r="F21" s="24">
        <f>69959520+3682080</f>
        <v>73641600</v>
      </c>
      <c r="G21" s="25">
        <v>25</v>
      </c>
      <c r="H21" s="8">
        <v>15</v>
      </c>
      <c r="I21" s="19">
        <f>0.8*4908.96</f>
        <v>3927.1680000000001</v>
      </c>
      <c r="J21" s="234">
        <f>0.9*4908.96</f>
        <v>4418.0640000000003</v>
      </c>
    </row>
    <row r="22" spans="1:10" ht="12.75" customHeight="1" x14ac:dyDescent="0.2">
      <c r="A22" s="196" t="s">
        <v>94</v>
      </c>
      <c r="B22" s="112"/>
      <c r="C22" s="112">
        <v>4</v>
      </c>
      <c r="D22" s="113">
        <v>122724</v>
      </c>
      <c r="E22" s="114">
        <v>10228</v>
      </c>
      <c r="F22" s="114">
        <v>14728320</v>
      </c>
      <c r="G22" s="115">
        <v>25</v>
      </c>
      <c r="H22" s="112">
        <v>15</v>
      </c>
      <c r="I22" s="63">
        <f>736.34*0.8</f>
        <v>589.072</v>
      </c>
      <c r="J22" s="248">
        <f>736.34*0.9</f>
        <v>662.70600000000002</v>
      </c>
    </row>
    <row r="23" spans="1:10" x14ac:dyDescent="0.2">
      <c r="A23" s="198" t="s">
        <v>117</v>
      </c>
      <c r="C23" s="8">
        <v>1</v>
      </c>
      <c r="D23" s="23">
        <v>30681</v>
      </c>
      <c r="E23" s="24">
        <v>2557</v>
      </c>
      <c r="F23" s="24">
        <v>3682080</v>
      </c>
      <c r="G23" s="25">
        <v>25</v>
      </c>
      <c r="H23" s="8">
        <v>15</v>
      </c>
      <c r="I23" s="19">
        <f>0.8*245.45</f>
        <v>196.36</v>
      </c>
      <c r="J23" s="234">
        <f>0.9*245.45</f>
        <v>220.905</v>
      </c>
    </row>
    <row r="24" spans="1:10" ht="13.5" thickBot="1" x14ac:dyDescent="0.25">
      <c r="A24" s="203" t="s">
        <v>115</v>
      </c>
      <c r="B24" s="204" t="s">
        <v>36</v>
      </c>
      <c r="C24" s="204">
        <v>1</v>
      </c>
      <c r="D24" s="249">
        <v>30681</v>
      </c>
      <c r="E24" s="250">
        <v>2557</v>
      </c>
      <c r="F24" s="250">
        <v>3682080</v>
      </c>
      <c r="G24" s="205">
        <v>25</v>
      </c>
      <c r="H24" s="204">
        <v>15</v>
      </c>
      <c r="I24" s="251">
        <f>0.8*245.45</f>
        <v>196.36</v>
      </c>
      <c r="J24" s="252">
        <f>0.9*245.45</f>
        <v>220.905</v>
      </c>
    </row>
    <row r="25" spans="1:10" x14ac:dyDescent="0.2">
      <c r="A25" s="1"/>
      <c r="D25" s="23"/>
      <c r="E25" s="24"/>
      <c r="F25" s="24"/>
      <c r="G25" s="25"/>
      <c r="I25" s="19"/>
    </row>
    <row r="26" spans="1:10" x14ac:dyDescent="0.2">
      <c r="D26" s="23"/>
      <c r="E26" s="24"/>
      <c r="F26" s="24"/>
      <c r="G26" s="25"/>
      <c r="I26" s="19"/>
    </row>
    <row r="27" spans="1:10" x14ac:dyDescent="0.2">
      <c r="D27" s="26"/>
      <c r="E27" s="24"/>
      <c r="F27" s="24"/>
      <c r="G27" s="25"/>
      <c r="I27" s="19"/>
    </row>
    <row r="28" spans="1:10" x14ac:dyDescent="0.2">
      <c r="A28" s="8"/>
      <c r="D28" s="23"/>
      <c r="E28" s="24"/>
      <c r="F28" s="24"/>
      <c r="G28" s="25"/>
      <c r="I28" s="19"/>
    </row>
    <row r="29" spans="1:10" x14ac:dyDescent="0.2">
      <c r="A29" s="8"/>
      <c r="D29" s="26"/>
      <c r="E29" s="24"/>
      <c r="F29" s="24"/>
      <c r="G29" s="25"/>
      <c r="I29" s="19"/>
    </row>
    <row r="30" spans="1:10" x14ac:dyDescent="0.2">
      <c r="A30" s="8"/>
      <c r="D30" s="23"/>
      <c r="E30" s="24"/>
      <c r="F30" s="24"/>
      <c r="G30" s="25"/>
      <c r="I30" s="19"/>
    </row>
    <row r="31" spans="1:10" ht="12.75" customHeight="1" x14ac:dyDescent="0.2">
      <c r="A31" s="8"/>
      <c r="J31" s="118" t="s">
        <v>279</v>
      </c>
    </row>
    <row r="32" spans="1:10" x14ac:dyDescent="0.2">
      <c r="A32" s="8"/>
      <c r="D32" s="23"/>
      <c r="E32" s="24"/>
      <c r="F32" s="24"/>
      <c r="G32" s="25"/>
      <c r="I32" s="19"/>
      <c r="J32" s="119" t="s">
        <v>269</v>
      </c>
    </row>
    <row r="33" spans="1:10" x14ac:dyDescent="0.2">
      <c r="A33" s="8"/>
      <c r="D33" s="23"/>
      <c r="E33" s="24"/>
      <c r="F33" s="24"/>
      <c r="G33" s="25"/>
      <c r="I33" s="19"/>
      <c r="J33" s="120" t="s">
        <v>270</v>
      </c>
    </row>
    <row r="34" spans="1:10" x14ac:dyDescent="0.2">
      <c r="A34" s="8"/>
      <c r="D34" s="23"/>
      <c r="E34" s="24"/>
      <c r="F34" s="24"/>
      <c r="G34" s="25"/>
      <c r="I34" s="19"/>
      <c r="J34" s="119" t="s">
        <v>271</v>
      </c>
    </row>
    <row r="35" spans="1:10" x14ac:dyDescent="0.2">
      <c r="A35" s="8"/>
      <c r="D35" s="23"/>
      <c r="E35" s="24"/>
      <c r="F35" s="24"/>
      <c r="G35" s="25"/>
      <c r="I35" s="19"/>
      <c r="J35" s="120" t="s">
        <v>272</v>
      </c>
    </row>
    <row r="36" spans="1:10" x14ac:dyDescent="0.2">
      <c r="A36" s="8"/>
      <c r="D36" s="23"/>
      <c r="E36" s="24"/>
      <c r="F36" s="24"/>
      <c r="G36" s="25"/>
      <c r="I36" s="19"/>
      <c r="J36" s="119" t="s">
        <v>273</v>
      </c>
    </row>
    <row r="37" spans="1:10" x14ac:dyDescent="0.2">
      <c r="A37" s="8"/>
      <c r="D37" s="23"/>
      <c r="E37" s="24"/>
      <c r="F37" s="24"/>
      <c r="G37" s="25"/>
      <c r="I37" s="19"/>
      <c r="J37" s="120" t="s">
        <v>274</v>
      </c>
    </row>
    <row r="38" spans="1:10" x14ac:dyDescent="0.2">
      <c r="A38" s="8"/>
      <c r="D38" s="23"/>
      <c r="E38" s="24"/>
      <c r="F38" s="24"/>
      <c r="G38" s="25"/>
      <c r="I38" s="19"/>
      <c r="J38" s="119" t="s">
        <v>275</v>
      </c>
    </row>
    <row r="39" spans="1:10" x14ac:dyDescent="0.2">
      <c r="A39" s="1"/>
      <c r="D39" s="23"/>
      <c r="E39" s="24"/>
      <c r="F39" s="24"/>
      <c r="G39" s="25"/>
      <c r="I39" s="19"/>
      <c r="J39" s="120" t="s">
        <v>276</v>
      </c>
    </row>
    <row r="40" spans="1:10" x14ac:dyDescent="0.2">
      <c r="A40" s="29"/>
      <c r="D40" s="23"/>
      <c r="E40" s="24"/>
      <c r="F40" s="24"/>
      <c r="G40" s="25"/>
      <c r="I40" s="19"/>
      <c r="J40" s="119" t="s">
        <v>277</v>
      </c>
    </row>
    <row r="41" spans="1:10" x14ac:dyDescent="0.2">
      <c r="A41" s="1"/>
      <c r="D41" s="23"/>
      <c r="E41" s="24"/>
      <c r="F41" s="24"/>
      <c r="G41" s="25"/>
      <c r="I41" s="19"/>
      <c r="J41" s="121" t="s">
        <v>278</v>
      </c>
    </row>
    <row r="42" spans="1:10" x14ac:dyDescent="0.2">
      <c r="A42" s="1"/>
      <c r="D42" s="23"/>
      <c r="E42" s="24"/>
      <c r="F42" s="24"/>
      <c r="G42" s="25"/>
      <c r="I42" s="19"/>
    </row>
    <row r="43" spans="1:10" x14ac:dyDescent="0.2">
      <c r="A43" s="29"/>
      <c r="D43" s="23"/>
      <c r="E43" s="24"/>
      <c r="F43" s="24"/>
      <c r="G43" s="25"/>
      <c r="I43" s="19"/>
    </row>
    <row r="44" spans="1:10" x14ac:dyDescent="0.2">
      <c r="A44" s="1"/>
      <c r="D44" s="23"/>
      <c r="E44" s="24"/>
      <c r="F44" s="24"/>
      <c r="G44" s="25"/>
      <c r="I44" s="19"/>
    </row>
    <row r="45" spans="1:10" x14ac:dyDescent="0.2">
      <c r="D45" s="26"/>
      <c r="E45" s="24"/>
      <c r="F45" s="24"/>
      <c r="G45" s="25"/>
      <c r="I45" s="19"/>
    </row>
    <row r="46" spans="1:10" x14ac:dyDescent="0.2">
      <c r="A46" s="1"/>
      <c r="D46" s="23"/>
      <c r="E46" s="24"/>
      <c r="F46" s="24"/>
      <c r="G46" s="25"/>
      <c r="I46" s="19"/>
    </row>
    <row r="47" spans="1:10" x14ac:dyDescent="0.2">
      <c r="A47" s="1"/>
      <c r="D47" s="23"/>
      <c r="E47" s="24"/>
      <c r="F47" s="24"/>
      <c r="G47" s="25"/>
      <c r="I47" s="19"/>
    </row>
    <row r="48" spans="1:10" x14ac:dyDescent="0.2">
      <c r="D48" s="23"/>
      <c r="E48" s="24"/>
      <c r="F48" s="24"/>
      <c r="G48" s="25"/>
      <c r="I48" s="19"/>
    </row>
    <row r="49" spans="1:9" x14ac:dyDescent="0.2">
      <c r="A49" s="1"/>
      <c r="D49" s="23"/>
      <c r="E49" s="24"/>
      <c r="F49" s="24"/>
      <c r="G49" s="25"/>
      <c r="I49" s="19"/>
    </row>
    <row r="50" spans="1:9" x14ac:dyDescent="0.2">
      <c r="D50" s="23"/>
      <c r="E50" s="24"/>
      <c r="F50" s="24"/>
      <c r="G50" s="25"/>
      <c r="I50" s="19"/>
    </row>
    <row r="51" spans="1:9" x14ac:dyDescent="0.2">
      <c r="D51" s="23"/>
      <c r="E51" s="24"/>
      <c r="F51" s="24"/>
      <c r="G51" s="25"/>
    </row>
    <row r="52" spans="1:9" x14ac:dyDescent="0.2">
      <c r="D52" s="23"/>
      <c r="E52" s="24"/>
      <c r="F52" s="24"/>
      <c r="G52" s="25"/>
    </row>
    <row r="53" spans="1:9" x14ac:dyDescent="0.2">
      <c r="D53" s="30"/>
      <c r="E53" s="24"/>
      <c r="F53" s="24"/>
      <c r="G53" s="25"/>
    </row>
    <row r="54" spans="1:9" x14ac:dyDescent="0.2">
      <c r="D54" s="23"/>
      <c r="E54" s="24"/>
      <c r="F54" s="24"/>
      <c r="G54" s="25"/>
    </row>
    <row r="55" spans="1:9" x14ac:dyDescent="0.2">
      <c r="D55" s="26"/>
      <c r="E55" s="24"/>
      <c r="F55" s="24"/>
      <c r="G55" s="25"/>
    </row>
    <row r="56" spans="1:9" x14ac:dyDescent="0.2">
      <c r="D56" s="23"/>
      <c r="E56" s="24"/>
      <c r="F56" s="24"/>
      <c r="G56" s="25"/>
    </row>
    <row r="57" spans="1:9" x14ac:dyDescent="0.2">
      <c r="D57" s="23"/>
      <c r="E57" s="24"/>
      <c r="F57" s="24"/>
      <c r="G57" s="25"/>
    </row>
    <row r="58" spans="1:9" x14ac:dyDescent="0.2">
      <c r="D58" s="23"/>
      <c r="E58" s="24"/>
      <c r="F58" s="24"/>
      <c r="G58" s="25"/>
    </row>
    <row r="59" spans="1:9" x14ac:dyDescent="0.2">
      <c r="D59" s="23"/>
      <c r="E59" s="24"/>
      <c r="F59" s="24"/>
      <c r="G59" s="25"/>
    </row>
    <row r="60" spans="1:9" x14ac:dyDescent="0.2">
      <c r="A60" s="1"/>
      <c r="D60" s="26"/>
      <c r="E60" s="24"/>
      <c r="F60" s="24"/>
      <c r="G60" s="25"/>
      <c r="I60" s="19"/>
    </row>
    <row r="61" spans="1:9" x14ac:dyDescent="0.2">
      <c r="A61" s="1"/>
      <c r="D61" s="26"/>
      <c r="E61" s="24"/>
      <c r="F61" s="24"/>
      <c r="G61" s="25"/>
      <c r="I61" s="19"/>
    </row>
    <row r="62" spans="1:9" ht="12.6" customHeight="1" x14ac:dyDescent="0.2">
      <c r="D62" s="23"/>
      <c r="E62" s="24"/>
      <c r="F62" s="24"/>
      <c r="G62" s="25"/>
      <c r="I62" s="19"/>
    </row>
    <row r="63" spans="1:9" ht="12.6" customHeight="1" x14ac:dyDescent="0.2">
      <c r="D63" s="23"/>
      <c r="E63" s="24"/>
      <c r="F63" s="24"/>
      <c r="G63" s="25"/>
      <c r="I63" s="19"/>
    </row>
    <row r="64" spans="1:9" ht="12.75" customHeight="1" x14ac:dyDescent="0.2">
      <c r="D64" s="23"/>
      <c r="E64" s="24"/>
      <c r="F64" s="24"/>
      <c r="G64" s="25"/>
      <c r="I64" s="19"/>
    </row>
    <row r="65" spans="1:9" ht="12.75" customHeight="1" x14ac:dyDescent="0.2">
      <c r="D65" s="26"/>
      <c r="E65" s="24"/>
      <c r="F65" s="24"/>
      <c r="G65" s="25"/>
      <c r="I65" s="19"/>
    </row>
    <row r="66" spans="1:9" ht="12.75" customHeight="1" x14ac:dyDescent="0.2">
      <c r="A66" s="1"/>
      <c r="D66" s="23"/>
      <c r="E66" s="24"/>
      <c r="F66" s="24"/>
      <c r="G66" s="25"/>
      <c r="I66" s="19"/>
    </row>
    <row r="67" spans="1:9" ht="12.75" customHeight="1" x14ac:dyDescent="0.2">
      <c r="D67" s="23"/>
      <c r="E67" s="24"/>
      <c r="F67" s="24"/>
      <c r="G67" s="25"/>
      <c r="I67" s="19"/>
    </row>
    <row r="68" spans="1:9" ht="12.75" customHeight="1" x14ac:dyDescent="0.2">
      <c r="A68" s="1"/>
      <c r="D68" s="23"/>
      <c r="E68" s="24"/>
      <c r="F68" s="24"/>
      <c r="G68" s="25"/>
      <c r="I68" s="19"/>
    </row>
    <row r="69" spans="1:9" ht="12.75" customHeight="1" x14ac:dyDescent="0.2">
      <c r="A69" s="1"/>
      <c r="D69" s="23"/>
      <c r="E69" s="24"/>
      <c r="F69" s="24"/>
      <c r="G69" s="25"/>
      <c r="I69" s="19"/>
    </row>
    <row r="70" spans="1:9" ht="12.75" customHeight="1" x14ac:dyDescent="0.2">
      <c r="A70" s="1"/>
      <c r="D70" s="23"/>
      <c r="E70" s="24"/>
      <c r="F70" s="24"/>
      <c r="G70" s="25"/>
      <c r="I70" s="19"/>
    </row>
    <row r="71" spans="1:9" ht="12.75" customHeight="1" x14ac:dyDescent="0.2">
      <c r="A71" s="1"/>
      <c r="D71" s="23"/>
      <c r="E71" s="24"/>
      <c r="F71" s="24"/>
      <c r="G71" s="25"/>
      <c r="I71" s="19"/>
    </row>
    <row r="72" spans="1:9" ht="12.75" customHeight="1" x14ac:dyDescent="0.2">
      <c r="D72" s="23"/>
      <c r="E72" s="24"/>
      <c r="F72" s="24"/>
      <c r="G72" s="25"/>
      <c r="I72" s="19"/>
    </row>
    <row r="73" spans="1:9" ht="12.75" customHeight="1" x14ac:dyDescent="0.2">
      <c r="D73" s="26"/>
      <c r="E73" s="24"/>
      <c r="F73" s="24"/>
      <c r="G73" s="25"/>
      <c r="I73" s="19"/>
    </row>
    <row r="74" spans="1:9" ht="12.75" customHeight="1" x14ac:dyDescent="0.2">
      <c r="D74" s="23"/>
      <c r="E74" s="24"/>
      <c r="F74" s="24"/>
      <c r="G74" s="25"/>
      <c r="I74" s="19"/>
    </row>
    <row r="75" spans="1:9" ht="12.75" customHeight="1" x14ac:dyDescent="0.2">
      <c r="D75" s="31"/>
      <c r="E75" s="24"/>
      <c r="F75" s="24"/>
      <c r="G75" s="25"/>
      <c r="I75" s="19"/>
    </row>
    <row r="76" spans="1:9" ht="12.75" customHeight="1" x14ac:dyDescent="0.2">
      <c r="A76" s="1"/>
      <c r="D76" s="23"/>
      <c r="E76" s="24"/>
      <c r="F76" s="24"/>
      <c r="G76" s="25"/>
      <c r="I76" s="19"/>
    </row>
    <row r="77" spans="1:9" ht="12.75" customHeight="1" x14ac:dyDescent="0.2">
      <c r="D77" s="23"/>
      <c r="E77" s="24"/>
      <c r="F77" s="24"/>
      <c r="G77" s="25"/>
      <c r="I77" s="19"/>
    </row>
    <row r="78" spans="1:9" ht="12.75" customHeight="1" x14ac:dyDescent="0.2">
      <c r="D78" s="23"/>
      <c r="E78" s="24"/>
      <c r="F78" s="24"/>
      <c r="G78" s="25"/>
      <c r="I78" s="19"/>
    </row>
    <row r="79" spans="1:9" ht="12.75" customHeight="1" x14ac:dyDescent="0.2">
      <c r="A79" s="1"/>
      <c r="D79" s="23"/>
      <c r="E79" s="24"/>
      <c r="F79" s="24"/>
      <c r="G79" s="25"/>
      <c r="I79" s="19"/>
    </row>
    <row r="80" spans="1:9" s="32" customFormat="1" ht="12.75" customHeight="1" x14ac:dyDescent="0.2">
      <c r="A80" s="10"/>
      <c r="B80" s="8"/>
      <c r="C80" s="8"/>
      <c r="D80" s="23"/>
      <c r="E80" s="24"/>
      <c r="F80" s="24"/>
      <c r="G80" s="25"/>
      <c r="H80" s="8"/>
      <c r="I80" s="19"/>
    </row>
    <row r="81" spans="8:9" ht="12.75" customHeight="1" x14ac:dyDescent="0.2">
      <c r="H81" s="33"/>
      <c r="I81" s="19"/>
    </row>
    <row r="82" spans="8:9" ht="12.75" customHeight="1" x14ac:dyDescent="0.2">
      <c r="I82" s="33"/>
    </row>
    <row r="83" spans="8:9" ht="12.75" customHeight="1" x14ac:dyDescent="0.2">
      <c r="I83" s="33"/>
    </row>
  </sheetData>
  <autoFilter ref="A2:I80">
    <sortState ref="A2:L84">
      <sortCondition descending="1" ref="C1:C71"/>
    </sortState>
  </autoFilter>
  <mergeCells count="1">
    <mergeCell ref="A1:J1"/>
  </mergeCells>
  <pageMargins left="0.7" right="0.7" top="0.75" bottom="0.75" header="0.3" footer="0.3"/>
  <pageSetup paperSize="17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5"/>
  <sheetViews>
    <sheetView topLeftCell="C1" zoomScaleNormal="100" workbookViewId="0">
      <selection activeCell="H13" sqref="H13"/>
    </sheetView>
  </sheetViews>
  <sheetFormatPr defaultRowHeight="12.75" x14ac:dyDescent="0.2"/>
  <cols>
    <col min="1" max="1" width="6.85546875" style="286" customWidth="1"/>
    <col min="2" max="2" width="27.140625" style="286" customWidth="1"/>
    <col min="3" max="3" width="9.140625" style="286"/>
    <col min="4" max="4" width="26.5703125" style="286" customWidth="1"/>
    <col min="5" max="5" width="15.28515625" style="286" customWidth="1"/>
    <col min="6" max="6" width="0" style="286" hidden="1" customWidth="1"/>
    <col min="7" max="7" width="13.42578125" style="286" customWidth="1"/>
    <col min="8" max="8" width="14.85546875" style="286" customWidth="1"/>
    <col min="9" max="9" width="13.7109375" style="286" customWidth="1"/>
    <col min="10" max="10" width="12.28515625" style="286" customWidth="1"/>
    <col min="11" max="11" width="1.85546875" style="286" customWidth="1"/>
    <col min="12" max="12" width="14.28515625" style="286" customWidth="1"/>
    <col min="13" max="13" width="13.7109375" style="286" customWidth="1"/>
    <col min="14" max="14" width="12.28515625" style="286" customWidth="1"/>
    <col min="15" max="15" width="11.85546875" style="286" customWidth="1"/>
    <col min="16" max="16" width="0" style="286" hidden="1" customWidth="1"/>
    <col min="17" max="16384" width="9.140625" style="286"/>
  </cols>
  <sheetData>
    <row r="1" spans="1:16" ht="51.75" customHeight="1" x14ac:dyDescent="0.2">
      <c r="A1" s="323" t="s">
        <v>475</v>
      </c>
      <c r="B1" s="324"/>
      <c r="C1" s="324"/>
      <c r="D1" s="324"/>
      <c r="E1" s="324"/>
      <c r="F1" s="324"/>
      <c r="G1" s="324"/>
      <c r="H1" s="324"/>
      <c r="I1" s="324"/>
      <c r="J1" s="324"/>
      <c r="K1" s="324"/>
      <c r="L1" s="324"/>
      <c r="M1" s="324"/>
      <c r="N1" s="324"/>
      <c r="O1" s="325"/>
    </row>
    <row r="2" spans="1:16" ht="38.25" x14ac:dyDescent="0.2">
      <c r="A2" s="294" t="s">
        <v>388</v>
      </c>
      <c r="B2" s="281" t="s">
        <v>389</v>
      </c>
      <c r="C2" s="284" t="s">
        <v>390</v>
      </c>
      <c r="D2" s="281" t="s">
        <v>207</v>
      </c>
      <c r="E2" s="281" t="s">
        <v>391</v>
      </c>
      <c r="F2" s="288" t="s">
        <v>395</v>
      </c>
      <c r="G2" s="288" t="s">
        <v>392</v>
      </c>
      <c r="H2" s="288" t="s">
        <v>393</v>
      </c>
      <c r="I2" s="288" t="s">
        <v>394</v>
      </c>
      <c r="J2" s="288" t="s">
        <v>471</v>
      </c>
      <c r="K2" s="278" t="s">
        <v>336</v>
      </c>
      <c r="L2" s="288" t="s">
        <v>396</v>
      </c>
      <c r="M2" s="288" t="s">
        <v>397</v>
      </c>
      <c r="N2" s="288" t="s">
        <v>394</v>
      </c>
      <c r="O2" s="295" t="s">
        <v>472</v>
      </c>
      <c r="P2" s="288" t="s">
        <v>395</v>
      </c>
    </row>
    <row r="3" spans="1:16" ht="18.75" customHeight="1" x14ac:dyDescent="0.25">
      <c r="A3" s="296" t="s">
        <v>398</v>
      </c>
      <c r="B3" s="287" t="s">
        <v>399</v>
      </c>
      <c r="C3" s="285">
        <v>99505</v>
      </c>
      <c r="D3" s="283" t="s">
        <v>263</v>
      </c>
      <c r="E3" s="283" t="s">
        <v>263</v>
      </c>
      <c r="F3" s="280" t="s">
        <v>400</v>
      </c>
      <c r="G3" s="277">
        <v>2394</v>
      </c>
      <c r="H3" s="277">
        <v>4216</v>
      </c>
      <c r="I3" s="277">
        <v>348</v>
      </c>
      <c r="J3" s="277">
        <v>374.79</v>
      </c>
      <c r="K3" s="275" t="s">
        <v>336</v>
      </c>
      <c r="L3" s="277">
        <v>3758</v>
      </c>
      <c r="M3" s="277">
        <v>6372</v>
      </c>
      <c r="N3" s="277">
        <v>436</v>
      </c>
      <c r="O3" s="297">
        <v>433.23</v>
      </c>
      <c r="P3" s="280" t="s">
        <v>400</v>
      </c>
    </row>
    <row r="4" spans="1:16" x14ac:dyDescent="0.2">
      <c r="A4" s="298" t="s">
        <v>398</v>
      </c>
      <c r="B4" s="282" t="s">
        <v>401</v>
      </c>
      <c r="C4" s="279">
        <v>99703</v>
      </c>
      <c r="D4" s="276" t="s">
        <v>210</v>
      </c>
      <c r="E4" s="276" t="s">
        <v>402</v>
      </c>
      <c r="F4" s="274" t="s">
        <v>400</v>
      </c>
      <c r="G4" s="274">
        <v>2394</v>
      </c>
      <c r="H4" s="274">
        <v>4216</v>
      </c>
      <c r="I4" s="274">
        <v>348</v>
      </c>
      <c r="J4" s="274">
        <v>507.78000000000003</v>
      </c>
      <c r="K4" s="275" t="s">
        <v>336</v>
      </c>
      <c r="L4" s="274">
        <v>3758</v>
      </c>
      <c r="M4" s="274">
        <v>6372</v>
      </c>
      <c r="N4" s="274">
        <v>436</v>
      </c>
      <c r="O4" s="299">
        <v>586.95000000000005</v>
      </c>
      <c r="P4" s="274" t="s">
        <v>400</v>
      </c>
    </row>
    <row r="5" spans="1:16" x14ac:dyDescent="0.2">
      <c r="A5" s="296" t="s">
        <v>403</v>
      </c>
      <c r="B5" s="287" t="s">
        <v>404</v>
      </c>
      <c r="C5" s="285">
        <v>36362</v>
      </c>
      <c r="D5" s="283" t="s">
        <v>206</v>
      </c>
      <c r="E5" s="283" t="s">
        <v>405</v>
      </c>
      <c r="F5" s="280" t="s">
        <v>406</v>
      </c>
      <c r="G5" s="277">
        <v>2394</v>
      </c>
      <c r="H5" s="277">
        <v>4216</v>
      </c>
      <c r="I5" s="277">
        <v>348</v>
      </c>
      <c r="J5" s="277">
        <v>168.285</v>
      </c>
      <c r="K5" s="275" t="s">
        <v>336</v>
      </c>
      <c r="L5" s="277">
        <v>3758</v>
      </c>
      <c r="M5" s="277">
        <v>6372</v>
      </c>
      <c r="N5" s="277">
        <v>436</v>
      </c>
      <c r="O5" s="300">
        <v>178.59399999999999</v>
      </c>
      <c r="P5" s="280" t="s">
        <v>406</v>
      </c>
    </row>
    <row r="6" spans="1:16" ht="15" customHeight="1" x14ac:dyDescent="0.2">
      <c r="A6" s="298" t="s">
        <v>407</v>
      </c>
      <c r="B6" s="282" t="s">
        <v>288</v>
      </c>
      <c r="C6" s="279">
        <v>85613</v>
      </c>
      <c r="D6" s="276" t="s">
        <v>211</v>
      </c>
      <c r="E6" s="276" t="s">
        <v>408</v>
      </c>
      <c r="F6" s="274" t="s">
        <v>400</v>
      </c>
      <c r="G6" s="274">
        <v>2394</v>
      </c>
      <c r="H6" s="274">
        <v>4216</v>
      </c>
      <c r="I6" s="274">
        <v>348</v>
      </c>
      <c r="J6" s="274">
        <v>169.15600000000001</v>
      </c>
      <c r="K6" s="275" t="s">
        <v>336</v>
      </c>
      <c r="L6" s="274">
        <v>3758</v>
      </c>
      <c r="M6" s="274">
        <v>6372</v>
      </c>
      <c r="N6" s="274">
        <v>436</v>
      </c>
      <c r="O6" s="299">
        <v>187.18700000000001</v>
      </c>
      <c r="P6" s="274" t="s">
        <v>400</v>
      </c>
    </row>
    <row r="7" spans="1:16" ht="16.5" customHeight="1" x14ac:dyDescent="0.2">
      <c r="A7" s="296" t="s">
        <v>409</v>
      </c>
      <c r="B7" s="287" t="s">
        <v>285</v>
      </c>
      <c r="C7" s="285">
        <v>92310</v>
      </c>
      <c r="D7" s="283" t="s">
        <v>215</v>
      </c>
      <c r="E7" s="283" t="s">
        <v>410</v>
      </c>
      <c r="F7" s="280" t="s">
        <v>411</v>
      </c>
      <c r="G7" s="277">
        <v>2394</v>
      </c>
      <c r="H7" s="277">
        <v>4216</v>
      </c>
      <c r="I7" s="277">
        <v>348</v>
      </c>
      <c r="J7" s="277">
        <v>219.44000000000003</v>
      </c>
      <c r="K7" s="275" t="s">
        <v>336</v>
      </c>
      <c r="L7" s="277">
        <v>3758</v>
      </c>
      <c r="M7" s="277">
        <v>6372</v>
      </c>
      <c r="N7" s="277">
        <v>436</v>
      </c>
      <c r="O7" s="301">
        <v>225.65400000000002</v>
      </c>
      <c r="P7" s="280" t="s">
        <v>411</v>
      </c>
    </row>
    <row r="8" spans="1:16" ht="17.25" customHeight="1" x14ac:dyDescent="0.2">
      <c r="A8" s="298" t="s">
        <v>412</v>
      </c>
      <c r="B8" s="282" t="s">
        <v>281</v>
      </c>
      <c r="C8" s="279">
        <v>80913</v>
      </c>
      <c r="D8" s="276" t="s">
        <v>217</v>
      </c>
      <c r="E8" s="276" t="s">
        <v>413</v>
      </c>
      <c r="F8" s="274" t="s">
        <v>414</v>
      </c>
      <c r="G8" s="274">
        <v>2394</v>
      </c>
      <c r="H8" s="274">
        <v>4216</v>
      </c>
      <c r="I8" s="274">
        <v>348</v>
      </c>
      <c r="J8" s="274">
        <v>152.048</v>
      </c>
      <c r="K8" s="275" t="s">
        <v>336</v>
      </c>
      <c r="L8" s="274">
        <v>3758</v>
      </c>
      <c r="M8" s="274">
        <v>6372</v>
      </c>
      <c r="N8" s="274">
        <v>436</v>
      </c>
      <c r="O8" s="299">
        <v>157.846</v>
      </c>
      <c r="P8" s="274" t="s">
        <v>414</v>
      </c>
    </row>
    <row r="9" spans="1:16" ht="15.75" customHeight="1" x14ac:dyDescent="0.2">
      <c r="A9" s="296" t="s">
        <v>415</v>
      </c>
      <c r="B9" s="287" t="s">
        <v>416</v>
      </c>
      <c r="C9" s="285">
        <v>20319</v>
      </c>
      <c r="D9" s="283" t="s">
        <v>417</v>
      </c>
      <c r="E9" s="283" t="s">
        <v>418</v>
      </c>
      <c r="F9" s="280" t="s">
        <v>406</v>
      </c>
      <c r="G9" s="277">
        <v>2394</v>
      </c>
      <c r="H9" s="277">
        <v>4216</v>
      </c>
      <c r="I9" s="277">
        <v>348</v>
      </c>
      <c r="J9" s="277">
        <v>116.62299999999999</v>
      </c>
      <c r="K9" s="275" t="s">
        <v>336</v>
      </c>
      <c r="L9" s="277">
        <v>3758</v>
      </c>
      <c r="M9" s="277">
        <v>6372</v>
      </c>
      <c r="N9" s="277">
        <v>436</v>
      </c>
      <c r="O9" s="301">
        <v>121.55</v>
      </c>
      <c r="P9" s="280" t="s">
        <v>406</v>
      </c>
    </row>
    <row r="10" spans="1:16" x14ac:dyDescent="0.2">
      <c r="A10" s="298" t="s">
        <v>419</v>
      </c>
      <c r="B10" s="282" t="s">
        <v>420</v>
      </c>
      <c r="C10" s="279">
        <v>31314</v>
      </c>
      <c r="D10" s="276" t="s">
        <v>222</v>
      </c>
      <c r="E10" s="276" t="s">
        <v>222</v>
      </c>
      <c r="F10" s="274" t="s">
        <v>414</v>
      </c>
      <c r="G10" s="274">
        <v>2394</v>
      </c>
      <c r="H10" s="274">
        <v>4216</v>
      </c>
      <c r="I10" s="274">
        <v>348</v>
      </c>
      <c r="J10" s="274">
        <v>148.46</v>
      </c>
      <c r="K10" s="275" t="s">
        <v>336</v>
      </c>
      <c r="L10" s="274">
        <v>3758</v>
      </c>
      <c r="M10" s="274">
        <v>6372</v>
      </c>
      <c r="N10" s="274">
        <v>436</v>
      </c>
      <c r="O10" s="299">
        <v>156.637</v>
      </c>
      <c r="P10" s="274" t="s">
        <v>414</v>
      </c>
    </row>
    <row r="11" spans="1:16" ht="14.25" customHeight="1" x14ac:dyDescent="0.2">
      <c r="A11" s="296" t="s">
        <v>419</v>
      </c>
      <c r="B11" s="287" t="s">
        <v>283</v>
      </c>
      <c r="C11" s="285">
        <v>31905</v>
      </c>
      <c r="D11" s="283" t="s">
        <v>421</v>
      </c>
      <c r="E11" s="283" t="s">
        <v>422</v>
      </c>
      <c r="F11" s="280" t="s">
        <v>414</v>
      </c>
      <c r="G11" s="277">
        <v>2394</v>
      </c>
      <c r="H11" s="277">
        <v>4216</v>
      </c>
      <c r="I11" s="277">
        <v>348</v>
      </c>
      <c r="J11" s="277">
        <v>180.739</v>
      </c>
      <c r="K11" s="275" t="s">
        <v>336</v>
      </c>
      <c r="L11" s="277">
        <v>3758</v>
      </c>
      <c r="M11" s="277">
        <v>6372</v>
      </c>
      <c r="N11" s="277">
        <v>436</v>
      </c>
      <c r="O11" s="301">
        <v>193.999</v>
      </c>
      <c r="P11" s="280" t="s">
        <v>414</v>
      </c>
    </row>
    <row r="12" spans="1:16" x14ac:dyDescent="0.2">
      <c r="A12" s="298" t="s">
        <v>419</v>
      </c>
      <c r="B12" s="282" t="s">
        <v>423</v>
      </c>
      <c r="C12" s="279">
        <v>30905</v>
      </c>
      <c r="D12" s="276" t="s">
        <v>221</v>
      </c>
      <c r="E12" s="276" t="s">
        <v>424</v>
      </c>
      <c r="F12" s="274" t="s">
        <v>414</v>
      </c>
      <c r="G12" s="274">
        <v>2394</v>
      </c>
      <c r="H12" s="274">
        <v>4216</v>
      </c>
      <c r="I12" s="274">
        <v>348</v>
      </c>
      <c r="J12" s="274">
        <v>208.67600000000002</v>
      </c>
      <c r="K12" s="275" t="s">
        <v>336</v>
      </c>
      <c r="L12" s="274">
        <v>3758</v>
      </c>
      <c r="M12" s="274">
        <v>6372</v>
      </c>
      <c r="N12" s="274">
        <v>436</v>
      </c>
      <c r="O12" s="299">
        <v>208.67600000000002</v>
      </c>
      <c r="P12" s="274" t="s">
        <v>414</v>
      </c>
    </row>
    <row r="13" spans="1:16" x14ac:dyDescent="0.2">
      <c r="A13" s="296" t="s">
        <v>425</v>
      </c>
      <c r="B13" s="287" t="s">
        <v>426</v>
      </c>
      <c r="C13" s="285">
        <v>96857</v>
      </c>
      <c r="D13" s="283" t="s">
        <v>225</v>
      </c>
      <c r="E13" s="283" t="s">
        <v>427</v>
      </c>
      <c r="F13" s="280" t="s">
        <v>428</v>
      </c>
      <c r="G13" s="277">
        <v>2394</v>
      </c>
      <c r="H13" s="277">
        <v>4216</v>
      </c>
      <c r="I13" s="277">
        <v>348</v>
      </c>
      <c r="J13" s="277">
        <v>538.20000000000005</v>
      </c>
      <c r="K13" s="275" t="s">
        <v>336</v>
      </c>
      <c r="L13" s="277">
        <v>3758</v>
      </c>
      <c r="M13" s="277">
        <v>6372</v>
      </c>
      <c r="N13" s="277">
        <v>436</v>
      </c>
      <c r="O13" s="301">
        <v>610.35</v>
      </c>
      <c r="P13" s="280" t="s">
        <v>428</v>
      </c>
    </row>
    <row r="14" spans="1:16" x14ac:dyDescent="0.2">
      <c r="A14" s="298" t="s">
        <v>425</v>
      </c>
      <c r="B14" s="282" t="s">
        <v>429</v>
      </c>
      <c r="C14" s="279">
        <v>96858</v>
      </c>
      <c r="D14" s="276" t="s">
        <v>225</v>
      </c>
      <c r="E14" s="276" t="s">
        <v>427</v>
      </c>
      <c r="F14" s="274" t="s">
        <v>428</v>
      </c>
      <c r="G14" s="274">
        <v>2394</v>
      </c>
      <c r="H14" s="274">
        <v>4216</v>
      </c>
      <c r="I14" s="274">
        <v>348</v>
      </c>
      <c r="J14" s="274">
        <v>538.20000000000005</v>
      </c>
      <c r="K14" s="275" t="s">
        <v>336</v>
      </c>
      <c r="L14" s="274">
        <v>3758</v>
      </c>
      <c r="M14" s="274">
        <v>6372</v>
      </c>
      <c r="N14" s="274">
        <v>436</v>
      </c>
      <c r="O14" s="299">
        <v>610.35</v>
      </c>
      <c r="P14" s="274" t="s">
        <v>428</v>
      </c>
    </row>
    <row r="15" spans="1:16" x14ac:dyDescent="0.2">
      <c r="A15" s="296" t="s">
        <v>430</v>
      </c>
      <c r="B15" s="287" t="s">
        <v>286</v>
      </c>
      <c r="C15" s="285">
        <v>66442</v>
      </c>
      <c r="D15" s="283" t="s">
        <v>230</v>
      </c>
      <c r="E15" s="283" t="s">
        <v>431</v>
      </c>
      <c r="F15" s="280" t="s">
        <v>414</v>
      </c>
      <c r="G15" s="277">
        <v>2394</v>
      </c>
      <c r="H15" s="277">
        <v>4216</v>
      </c>
      <c r="I15" s="277">
        <v>348</v>
      </c>
      <c r="J15" s="277">
        <v>257.71200000000005</v>
      </c>
      <c r="K15" s="275" t="s">
        <v>336</v>
      </c>
      <c r="L15" s="277">
        <v>3758</v>
      </c>
      <c r="M15" s="277">
        <v>6372</v>
      </c>
      <c r="N15" s="277">
        <v>436</v>
      </c>
      <c r="O15" s="301">
        <v>257.71200000000005</v>
      </c>
      <c r="P15" s="280" t="s">
        <v>414</v>
      </c>
    </row>
    <row r="16" spans="1:16" x14ac:dyDescent="0.2">
      <c r="A16" s="298" t="s">
        <v>432</v>
      </c>
      <c r="B16" s="282" t="s">
        <v>280</v>
      </c>
      <c r="C16" s="279">
        <v>42223</v>
      </c>
      <c r="D16" s="276" t="s">
        <v>232</v>
      </c>
      <c r="E16" s="276" t="s">
        <v>433</v>
      </c>
      <c r="F16" s="274" t="s">
        <v>406</v>
      </c>
      <c r="G16" s="274">
        <v>2394</v>
      </c>
      <c r="H16" s="274">
        <v>4216</v>
      </c>
      <c r="I16" s="274">
        <v>348</v>
      </c>
      <c r="J16" s="274">
        <v>173.06899999999999</v>
      </c>
      <c r="K16" s="275" t="s">
        <v>336</v>
      </c>
      <c r="L16" s="274">
        <v>3758</v>
      </c>
      <c r="M16" s="274">
        <v>6372</v>
      </c>
      <c r="N16" s="274">
        <v>436</v>
      </c>
      <c r="O16" s="299">
        <v>173.06899999999999</v>
      </c>
      <c r="P16" s="274" t="s">
        <v>406</v>
      </c>
    </row>
    <row r="17" spans="1:16" x14ac:dyDescent="0.2">
      <c r="A17" s="296" t="s">
        <v>432</v>
      </c>
      <c r="B17" s="287" t="s">
        <v>434</v>
      </c>
      <c r="C17" s="285">
        <v>40121</v>
      </c>
      <c r="D17" s="283" t="s">
        <v>234</v>
      </c>
      <c r="E17" s="283" t="s">
        <v>435</v>
      </c>
      <c r="F17" s="280" t="s">
        <v>406</v>
      </c>
      <c r="G17" s="277">
        <v>2394</v>
      </c>
      <c r="H17" s="277">
        <v>4216</v>
      </c>
      <c r="I17" s="277">
        <v>348</v>
      </c>
      <c r="J17" s="277">
        <v>158.63900000000001</v>
      </c>
      <c r="K17" s="275" t="s">
        <v>336</v>
      </c>
      <c r="L17" s="277">
        <v>3758</v>
      </c>
      <c r="M17" s="277">
        <v>6372</v>
      </c>
      <c r="N17" s="277">
        <v>436</v>
      </c>
      <c r="O17" s="301">
        <v>158.63900000000001</v>
      </c>
      <c r="P17" s="280" t="s">
        <v>406</v>
      </c>
    </row>
    <row r="18" spans="1:16" ht="15" customHeight="1" x14ac:dyDescent="0.2">
      <c r="A18" s="298" t="s">
        <v>436</v>
      </c>
      <c r="B18" s="282" t="s">
        <v>72</v>
      </c>
      <c r="C18" s="279">
        <v>71459</v>
      </c>
      <c r="D18" s="276" t="s">
        <v>437</v>
      </c>
      <c r="E18" s="276" t="s">
        <v>438</v>
      </c>
      <c r="F18" s="274" t="s">
        <v>414</v>
      </c>
      <c r="G18" s="274">
        <v>2394</v>
      </c>
      <c r="H18" s="274">
        <v>4216</v>
      </c>
      <c r="I18" s="274">
        <v>348</v>
      </c>
      <c r="J18" s="274">
        <v>245.32300000000001</v>
      </c>
      <c r="K18" s="275" t="s">
        <v>336</v>
      </c>
      <c r="L18" s="274">
        <v>3758</v>
      </c>
      <c r="M18" s="274">
        <v>6372</v>
      </c>
      <c r="N18" s="274">
        <v>436</v>
      </c>
      <c r="O18" s="299">
        <v>245.32300000000001</v>
      </c>
      <c r="P18" s="274" t="s">
        <v>414</v>
      </c>
    </row>
    <row r="19" spans="1:16" x14ac:dyDescent="0.2">
      <c r="A19" s="296" t="s">
        <v>439</v>
      </c>
      <c r="B19" s="287" t="s">
        <v>440</v>
      </c>
      <c r="C19" s="285">
        <v>20755</v>
      </c>
      <c r="D19" s="283" t="s">
        <v>236</v>
      </c>
      <c r="E19" s="283" t="s">
        <v>441</v>
      </c>
      <c r="F19" s="280" t="s">
        <v>406</v>
      </c>
      <c r="G19" s="277">
        <v>2394</v>
      </c>
      <c r="H19" s="277">
        <v>4216</v>
      </c>
      <c r="I19" s="277">
        <v>348</v>
      </c>
      <c r="J19" s="277">
        <v>113.126</v>
      </c>
      <c r="K19" s="275" t="s">
        <v>336</v>
      </c>
      <c r="L19" s="277">
        <v>3758</v>
      </c>
      <c r="M19" s="277">
        <v>6372</v>
      </c>
      <c r="N19" s="277">
        <v>436</v>
      </c>
      <c r="O19" s="301">
        <v>120.44500000000001</v>
      </c>
      <c r="P19" s="280" t="s">
        <v>406</v>
      </c>
    </row>
    <row r="20" spans="1:16" ht="13.5" customHeight="1" x14ac:dyDescent="0.2">
      <c r="A20" s="298" t="s">
        <v>442</v>
      </c>
      <c r="B20" s="282" t="s">
        <v>287</v>
      </c>
      <c r="C20" s="279">
        <v>65473</v>
      </c>
      <c r="D20" s="276" t="s">
        <v>240</v>
      </c>
      <c r="E20" s="276" t="s">
        <v>443</v>
      </c>
      <c r="F20" s="274" t="s">
        <v>406</v>
      </c>
      <c r="G20" s="274">
        <v>2394</v>
      </c>
      <c r="H20" s="274">
        <v>4216</v>
      </c>
      <c r="I20" s="274">
        <v>348</v>
      </c>
      <c r="J20" s="274">
        <v>186.84899999999999</v>
      </c>
      <c r="K20" s="275" t="s">
        <v>336</v>
      </c>
      <c r="L20" s="274">
        <v>3758</v>
      </c>
      <c r="M20" s="274">
        <v>6372</v>
      </c>
      <c r="N20" s="274">
        <v>436</v>
      </c>
      <c r="O20" s="299">
        <v>186.84899999999999</v>
      </c>
      <c r="P20" s="274" t="s">
        <v>406</v>
      </c>
    </row>
    <row r="21" spans="1:16" ht="18" customHeight="1" x14ac:dyDescent="0.2">
      <c r="A21" s="296" t="s">
        <v>444</v>
      </c>
      <c r="B21" s="287" t="s">
        <v>264</v>
      </c>
      <c r="C21" s="285">
        <v>28307</v>
      </c>
      <c r="D21" s="283" t="s">
        <v>445</v>
      </c>
      <c r="E21" s="283" t="s">
        <v>446</v>
      </c>
      <c r="F21" s="280" t="s">
        <v>414</v>
      </c>
      <c r="G21" s="277">
        <v>2394</v>
      </c>
      <c r="H21" s="277">
        <v>4216</v>
      </c>
      <c r="I21" s="277">
        <v>348</v>
      </c>
      <c r="J21" s="277">
        <v>221.11700000000002</v>
      </c>
      <c r="K21" s="275" t="s">
        <v>336</v>
      </c>
      <c r="L21" s="277">
        <v>3758</v>
      </c>
      <c r="M21" s="277">
        <v>6372</v>
      </c>
      <c r="N21" s="277">
        <v>436</v>
      </c>
      <c r="O21" s="301">
        <v>222.703</v>
      </c>
      <c r="P21" s="280" t="s">
        <v>414</v>
      </c>
    </row>
    <row r="22" spans="1:16" ht="14.25" customHeight="1" x14ac:dyDescent="0.2">
      <c r="A22" s="298" t="s">
        <v>447</v>
      </c>
      <c r="B22" s="282" t="s">
        <v>448</v>
      </c>
      <c r="C22" s="279">
        <v>13602</v>
      </c>
      <c r="D22" s="276" t="s">
        <v>243</v>
      </c>
      <c r="E22" s="276" t="s">
        <v>243</v>
      </c>
      <c r="F22" s="274" t="s">
        <v>414</v>
      </c>
      <c r="G22" s="274">
        <v>2394</v>
      </c>
      <c r="H22" s="274">
        <v>4216</v>
      </c>
      <c r="I22" s="274">
        <v>348</v>
      </c>
      <c r="J22" s="274">
        <v>198.88700000000003</v>
      </c>
      <c r="K22" s="275" t="s">
        <v>336</v>
      </c>
      <c r="L22" s="274">
        <v>3758</v>
      </c>
      <c r="M22" s="274">
        <v>6372</v>
      </c>
      <c r="N22" s="274">
        <v>436</v>
      </c>
      <c r="O22" s="299">
        <v>210.43100000000001</v>
      </c>
      <c r="P22" s="274" t="s">
        <v>414</v>
      </c>
    </row>
    <row r="23" spans="1:16" ht="14.25" customHeight="1" x14ac:dyDescent="0.2">
      <c r="A23" s="296" t="s">
        <v>449</v>
      </c>
      <c r="B23" s="287" t="s">
        <v>284</v>
      </c>
      <c r="C23" s="285">
        <v>73503</v>
      </c>
      <c r="D23" s="283" t="s">
        <v>246</v>
      </c>
      <c r="E23" s="283" t="s">
        <v>450</v>
      </c>
      <c r="F23" s="280" t="s">
        <v>414</v>
      </c>
      <c r="G23" s="277">
        <v>2394</v>
      </c>
      <c r="H23" s="277">
        <v>4216</v>
      </c>
      <c r="I23" s="277">
        <v>348</v>
      </c>
      <c r="J23" s="277">
        <v>162.09700000000001</v>
      </c>
      <c r="K23" s="275" t="s">
        <v>336</v>
      </c>
      <c r="L23" s="277">
        <v>3758</v>
      </c>
      <c r="M23" s="277">
        <v>6372</v>
      </c>
      <c r="N23" s="277">
        <v>436</v>
      </c>
      <c r="O23" s="301">
        <v>175.33100000000002</v>
      </c>
      <c r="P23" s="280" t="s">
        <v>414</v>
      </c>
    </row>
    <row r="24" spans="1:16" ht="15" customHeight="1" x14ac:dyDescent="0.2">
      <c r="A24" s="298" t="s">
        <v>451</v>
      </c>
      <c r="B24" s="282" t="s">
        <v>452</v>
      </c>
      <c r="C24" s="279">
        <v>29207</v>
      </c>
      <c r="D24" s="276" t="s">
        <v>453</v>
      </c>
      <c r="E24" s="276" t="s">
        <v>454</v>
      </c>
      <c r="F24" s="274" t="s">
        <v>406</v>
      </c>
      <c r="G24" s="274">
        <v>2394</v>
      </c>
      <c r="H24" s="274">
        <v>4216</v>
      </c>
      <c r="I24" s="274">
        <v>348</v>
      </c>
      <c r="J24" s="274">
        <v>137.904</v>
      </c>
      <c r="K24" s="275" t="s">
        <v>336</v>
      </c>
      <c r="L24" s="274">
        <v>3758</v>
      </c>
      <c r="M24" s="274">
        <v>6372</v>
      </c>
      <c r="N24" s="274">
        <v>436</v>
      </c>
      <c r="O24" s="299">
        <v>145.23599999999999</v>
      </c>
      <c r="P24" s="274" t="s">
        <v>406</v>
      </c>
    </row>
    <row r="25" spans="1:16" ht="15" customHeight="1" x14ac:dyDescent="0.2">
      <c r="A25" s="296" t="s">
        <v>455</v>
      </c>
      <c r="B25" s="287" t="s">
        <v>456</v>
      </c>
      <c r="C25" s="285">
        <v>76544</v>
      </c>
      <c r="D25" s="283" t="s">
        <v>252</v>
      </c>
      <c r="E25" s="283" t="s">
        <v>457</v>
      </c>
      <c r="F25" s="280" t="s">
        <v>414</v>
      </c>
      <c r="G25" s="277">
        <v>2394</v>
      </c>
      <c r="H25" s="277">
        <v>4216</v>
      </c>
      <c r="I25" s="277">
        <v>348</v>
      </c>
      <c r="J25" s="277">
        <v>266.98099999999999</v>
      </c>
      <c r="K25" s="275" t="s">
        <v>336</v>
      </c>
      <c r="L25" s="277">
        <v>3758</v>
      </c>
      <c r="M25" s="277">
        <v>6372</v>
      </c>
      <c r="N25" s="277">
        <v>436</v>
      </c>
      <c r="O25" s="301">
        <v>266.98099999999999</v>
      </c>
      <c r="P25" s="280" t="s">
        <v>414</v>
      </c>
    </row>
    <row r="26" spans="1:16" ht="18" customHeight="1" x14ac:dyDescent="0.2">
      <c r="A26" s="298" t="s">
        <v>455</v>
      </c>
      <c r="B26" s="282" t="s">
        <v>458</v>
      </c>
      <c r="C26" s="279">
        <v>79916</v>
      </c>
      <c r="D26" s="276" t="s">
        <v>242</v>
      </c>
      <c r="E26" s="276" t="s">
        <v>459</v>
      </c>
      <c r="F26" s="274" t="s">
        <v>460</v>
      </c>
      <c r="G26" s="274">
        <v>2394</v>
      </c>
      <c r="H26" s="274">
        <v>4216</v>
      </c>
      <c r="I26" s="274">
        <v>348</v>
      </c>
      <c r="J26" s="274">
        <v>176.26700000000002</v>
      </c>
      <c r="K26" s="275" t="s">
        <v>336</v>
      </c>
      <c r="L26" s="274">
        <v>3758</v>
      </c>
      <c r="M26" s="274">
        <v>6372</v>
      </c>
      <c r="N26" s="274">
        <v>436</v>
      </c>
      <c r="O26" s="299">
        <v>189.709</v>
      </c>
      <c r="P26" s="274" t="s">
        <v>460</v>
      </c>
    </row>
    <row r="27" spans="1:16" ht="14.25" customHeight="1" x14ac:dyDescent="0.2">
      <c r="A27" s="296" t="s">
        <v>455</v>
      </c>
      <c r="B27" s="287" t="s">
        <v>461</v>
      </c>
      <c r="C27" s="285">
        <v>78234</v>
      </c>
      <c r="D27" s="283" t="s">
        <v>462</v>
      </c>
      <c r="E27" s="283" t="s">
        <v>463</v>
      </c>
      <c r="F27" s="280" t="s">
        <v>414</v>
      </c>
      <c r="G27" s="277">
        <v>2394</v>
      </c>
      <c r="H27" s="277">
        <v>4216</v>
      </c>
      <c r="I27" s="277">
        <v>348</v>
      </c>
      <c r="J27" s="277">
        <v>121.96599999999999</v>
      </c>
      <c r="K27" s="275" t="s">
        <v>336</v>
      </c>
      <c r="L27" s="277">
        <v>3758</v>
      </c>
      <c r="M27" s="277">
        <v>6372</v>
      </c>
      <c r="N27" s="277">
        <v>436</v>
      </c>
      <c r="O27" s="301">
        <v>124.00700000000001</v>
      </c>
      <c r="P27" s="280" t="s">
        <v>414</v>
      </c>
    </row>
    <row r="28" spans="1:16" ht="15" customHeight="1" x14ac:dyDescent="0.2">
      <c r="A28" s="298" t="s">
        <v>464</v>
      </c>
      <c r="B28" s="282" t="s">
        <v>282</v>
      </c>
      <c r="C28" s="279">
        <v>23801</v>
      </c>
      <c r="D28" s="276" t="s">
        <v>255</v>
      </c>
      <c r="E28" s="276" t="s">
        <v>465</v>
      </c>
      <c r="F28" s="274" t="s">
        <v>406</v>
      </c>
      <c r="G28" s="274">
        <v>2394</v>
      </c>
      <c r="H28" s="274">
        <v>4216</v>
      </c>
      <c r="I28" s="274">
        <v>348</v>
      </c>
      <c r="J28" s="274">
        <v>164.42400000000001</v>
      </c>
      <c r="K28" s="275" t="s">
        <v>336</v>
      </c>
      <c r="L28" s="274">
        <v>3758</v>
      </c>
      <c r="M28" s="274">
        <v>6372</v>
      </c>
      <c r="N28" s="274">
        <v>436</v>
      </c>
      <c r="O28" s="299">
        <v>168.29800000000003</v>
      </c>
      <c r="P28" s="274" t="s">
        <v>406</v>
      </c>
    </row>
    <row r="29" spans="1:16" ht="14.25" customHeight="1" x14ac:dyDescent="0.2">
      <c r="A29" s="296" t="s">
        <v>464</v>
      </c>
      <c r="B29" s="287" t="s">
        <v>466</v>
      </c>
      <c r="C29" s="285">
        <v>23604</v>
      </c>
      <c r="D29" s="283" t="s">
        <v>257</v>
      </c>
      <c r="E29" s="283" t="s">
        <v>467</v>
      </c>
      <c r="F29" s="280" t="s">
        <v>414</v>
      </c>
      <c r="G29" s="277">
        <v>2394</v>
      </c>
      <c r="H29" s="277">
        <v>4216</v>
      </c>
      <c r="I29" s="277">
        <v>348</v>
      </c>
      <c r="J29" s="277">
        <v>158.57400000000001</v>
      </c>
      <c r="K29" s="275" t="s">
        <v>336</v>
      </c>
      <c r="L29" s="277">
        <v>3758</v>
      </c>
      <c r="M29" s="277">
        <v>6372</v>
      </c>
      <c r="N29" s="277">
        <v>436</v>
      </c>
      <c r="O29" s="301">
        <v>169.45500000000001</v>
      </c>
      <c r="P29" s="280" t="s">
        <v>414</v>
      </c>
    </row>
    <row r="30" spans="1:16" ht="16.5" customHeight="1" x14ac:dyDescent="0.2">
      <c r="A30" s="298" t="s">
        <v>464</v>
      </c>
      <c r="B30" s="282" t="s">
        <v>289</v>
      </c>
      <c r="C30" s="279">
        <v>22060</v>
      </c>
      <c r="D30" s="276" t="s">
        <v>417</v>
      </c>
      <c r="E30" s="276" t="s">
        <v>418</v>
      </c>
      <c r="F30" s="274" t="s">
        <v>406</v>
      </c>
      <c r="G30" s="274">
        <v>2394</v>
      </c>
      <c r="H30" s="274">
        <v>4216</v>
      </c>
      <c r="I30" s="274">
        <v>348</v>
      </c>
      <c r="J30" s="274">
        <v>123.669</v>
      </c>
      <c r="K30" s="275" t="s">
        <v>336</v>
      </c>
      <c r="L30" s="274">
        <v>3758</v>
      </c>
      <c r="M30" s="274">
        <v>6372</v>
      </c>
      <c r="N30" s="274">
        <v>436</v>
      </c>
      <c r="O30" s="299">
        <v>135.876</v>
      </c>
      <c r="P30" s="274" t="s">
        <v>406</v>
      </c>
    </row>
    <row r="31" spans="1:16" ht="15" customHeight="1" x14ac:dyDescent="0.2">
      <c r="A31" s="296" t="s">
        <v>464</v>
      </c>
      <c r="B31" s="287" t="s">
        <v>468</v>
      </c>
      <c r="C31" s="285">
        <v>22211</v>
      </c>
      <c r="D31" s="283" t="s">
        <v>417</v>
      </c>
      <c r="E31" s="283" t="s">
        <v>418</v>
      </c>
      <c r="F31" s="280" t="s">
        <v>406</v>
      </c>
      <c r="G31" s="277">
        <v>2394</v>
      </c>
      <c r="H31" s="277">
        <v>4216</v>
      </c>
      <c r="I31" s="277">
        <v>348</v>
      </c>
      <c r="J31" s="277">
        <v>123.669</v>
      </c>
      <c r="K31" s="275" t="s">
        <v>336</v>
      </c>
      <c r="L31" s="277">
        <v>3758</v>
      </c>
      <c r="M31" s="277">
        <v>6372</v>
      </c>
      <c r="N31" s="277">
        <v>436</v>
      </c>
      <c r="O31" s="301">
        <v>135.876</v>
      </c>
      <c r="P31" s="280" t="s">
        <v>406</v>
      </c>
    </row>
    <row r="32" spans="1:16" ht="14.25" customHeight="1" x14ac:dyDescent="0.2">
      <c r="A32" s="298" t="s">
        <v>469</v>
      </c>
      <c r="B32" s="282" t="s">
        <v>63</v>
      </c>
      <c r="C32" s="279">
        <v>98433</v>
      </c>
      <c r="D32" s="276" t="s">
        <v>258</v>
      </c>
      <c r="E32" s="276" t="s">
        <v>470</v>
      </c>
      <c r="F32" s="274" t="s">
        <v>400</v>
      </c>
      <c r="G32" s="274">
        <v>2394</v>
      </c>
      <c r="H32" s="274">
        <v>4216</v>
      </c>
      <c r="I32" s="274">
        <v>348</v>
      </c>
      <c r="J32" s="274">
        <v>133.71800000000002</v>
      </c>
      <c r="K32" s="275" t="s">
        <v>336</v>
      </c>
      <c r="L32" s="274">
        <v>3758</v>
      </c>
      <c r="M32" s="274">
        <v>6372</v>
      </c>
      <c r="N32" s="274">
        <v>436</v>
      </c>
      <c r="O32" s="299">
        <v>148.62899999999999</v>
      </c>
      <c r="P32" s="274" t="s">
        <v>400</v>
      </c>
    </row>
    <row r="33" spans="1:16" ht="13.5" thickBot="1" x14ac:dyDescent="0.25">
      <c r="A33" s="302"/>
      <c r="B33" s="303"/>
      <c r="C33" s="303"/>
      <c r="D33" s="303"/>
      <c r="E33" s="303"/>
      <c r="F33" s="304"/>
      <c r="G33" s="304">
        <v>71820</v>
      </c>
      <c r="H33" s="304">
        <v>126480</v>
      </c>
      <c r="I33" s="304">
        <v>10440</v>
      </c>
      <c r="J33" s="304">
        <v>6446.3879999999999</v>
      </c>
      <c r="K33" s="305"/>
      <c r="L33" s="304">
        <v>112740</v>
      </c>
      <c r="M33" s="304">
        <v>191160</v>
      </c>
      <c r="N33" s="304">
        <v>13080</v>
      </c>
      <c r="O33" s="306">
        <v>6905.5919999999996</v>
      </c>
      <c r="P33" s="289"/>
    </row>
    <row r="35" spans="1:16" x14ac:dyDescent="0.2">
      <c r="G35" s="290"/>
    </row>
    <row r="36" spans="1:16" ht="15" x14ac:dyDescent="0.25">
      <c r="F36" s="291"/>
      <c r="G36" s="292"/>
      <c r="H36" s="291"/>
      <c r="I36" s="291"/>
      <c r="J36" s="291"/>
      <c r="K36" s="291"/>
      <c r="L36" s="293"/>
    </row>
    <row r="37" spans="1:16" ht="15" x14ac:dyDescent="0.25">
      <c r="F37" s="291"/>
      <c r="G37" s="293"/>
      <c r="H37" s="291"/>
      <c r="I37" s="291"/>
      <c r="J37" s="291"/>
      <c r="K37" s="291"/>
      <c r="L37" s="293"/>
    </row>
    <row r="38" spans="1:16" ht="15" x14ac:dyDescent="0.25">
      <c r="F38" s="291"/>
      <c r="G38" s="293"/>
      <c r="H38" s="291"/>
      <c r="I38" s="291"/>
      <c r="J38" s="291"/>
      <c r="K38" s="291"/>
      <c r="L38" s="293"/>
    </row>
    <row r="39" spans="1:16" ht="15" x14ac:dyDescent="0.25">
      <c r="F39" s="291"/>
      <c r="G39" s="293"/>
      <c r="H39" s="291"/>
      <c r="I39" s="291"/>
      <c r="J39" s="291"/>
      <c r="K39" s="291"/>
      <c r="L39" s="293"/>
    </row>
    <row r="40" spans="1:16" ht="15" x14ac:dyDescent="0.25">
      <c r="F40" s="291"/>
      <c r="G40" s="293"/>
      <c r="H40" s="291"/>
      <c r="I40" s="291"/>
      <c r="J40" s="291"/>
      <c r="K40" s="291"/>
      <c r="L40" s="293"/>
    </row>
    <row r="41" spans="1:16" ht="15" x14ac:dyDescent="0.25">
      <c r="F41" s="291"/>
      <c r="G41" s="293"/>
      <c r="H41" s="291"/>
      <c r="I41" s="291"/>
      <c r="J41" s="291"/>
      <c r="K41" s="291"/>
      <c r="L41" s="293"/>
    </row>
    <row r="42" spans="1:16" ht="15" x14ac:dyDescent="0.25">
      <c r="F42" s="291"/>
      <c r="G42" s="293"/>
      <c r="H42" s="291"/>
      <c r="I42" s="291"/>
      <c r="J42" s="291"/>
      <c r="K42" s="291"/>
      <c r="L42" s="293"/>
    </row>
    <row r="43" spans="1:16" ht="15" x14ac:dyDescent="0.25">
      <c r="F43" s="291"/>
      <c r="G43" s="293"/>
      <c r="H43" s="291"/>
      <c r="I43" s="291"/>
      <c r="J43" s="291"/>
      <c r="K43" s="291"/>
      <c r="L43" s="293"/>
    </row>
    <row r="44" spans="1:16" ht="15" x14ac:dyDescent="0.25">
      <c r="F44" s="291"/>
      <c r="G44" s="293"/>
      <c r="H44" s="291"/>
      <c r="I44" s="291"/>
      <c r="J44" s="291"/>
      <c r="K44" s="291"/>
      <c r="L44" s="293"/>
    </row>
    <row r="45" spans="1:16" ht="15" x14ac:dyDescent="0.25">
      <c r="F45" s="291"/>
      <c r="G45" s="293"/>
      <c r="H45" s="291"/>
      <c r="I45" s="291"/>
      <c r="J45" s="291"/>
      <c r="K45" s="291"/>
      <c r="L45" s="293"/>
    </row>
  </sheetData>
  <mergeCells count="1">
    <mergeCell ref="A1:O1"/>
  </mergeCells>
  <pageMargins left="0.7" right="0.7" top="0.75" bottom="0.75" header="0.3" footer="0.3"/>
  <pageSetup paperSize="1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126"/>
  <sheetViews>
    <sheetView zoomScaleNormal="100" workbookViewId="0">
      <pane ySplit="1620" topLeftCell="A7"/>
      <selection sqref="A1:J1"/>
      <selection pane="bottomLeft" activeCell="A7" sqref="A7"/>
    </sheetView>
  </sheetViews>
  <sheetFormatPr defaultColWidth="9.140625" defaultRowHeight="15" customHeight="1" x14ac:dyDescent="0.2"/>
  <cols>
    <col min="1" max="1" width="26.5703125" style="145" customWidth="1"/>
    <col min="2" max="2" width="16.140625" style="16" hidden="1" customWidth="1"/>
    <col min="3" max="3" width="14.5703125" style="16" hidden="1" customWidth="1"/>
    <col min="4" max="4" width="11.28515625" style="34" customWidth="1"/>
    <col min="5" max="5" width="11.5703125" style="7" customWidth="1"/>
    <col min="6" max="6" width="24.85546875" style="7" customWidth="1"/>
    <col min="7" max="7" width="13.5703125" style="35" customWidth="1"/>
    <col min="8" max="8" width="12.28515625" style="8" customWidth="1"/>
    <col min="9" max="9" width="13.85546875" style="11" customWidth="1"/>
    <col min="10" max="10" width="13.7109375" style="36" customWidth="1"/>
    <col min="11" max="11" width="13.7109375" style="16" bestFit="1" customWidth="1"/>
    <col min="12" max="12" width="14.5703125" style="16" bestFit="1" customWidth="1"/>
    <col min="13" max="13" width="16" style="16" bestFit="1" customWidth="1"/>
    <col min="14" max="16384" width="9.140625" style="16"/>
  </cols>
  <sheetData>
    <row r="1" spans="1:11" ht="48.75" customHeight="1" thickBot="1" x14ac:dyDescent="0.25">
      <c r="A1" s="329" t="s">
        <v>378</v>
      </c>
      <c r="B1" s="329"/>
      <c r="C1" s="329"/>
      <c r="D1" s="329"/>
      <c r="E1" s="329"/>
      <c r="F1" s="329"/>
      <c r="G1" s="329"/>
      <c r="H1" s="329"/>
      <c r="I1" s="329"/>
      <c r="J1" s="329"/>
    </row>
    <row r="2" spans="1:11" s="144" customFormat="1" ht="15" customHeight="1" x14ac:dyDescent="0.2">
      <c r="A2" s="185"/>
      <c r="B2" s="186"/>
      <c r="C2" s="186"/>
      <c r="D2" s="326" t="s">
        <v>151</v>
      </c>
      <c r="E2" s="326"/>
      <c r="F2" s="326"/>
      <c r="G2" s="326"/>
      <c r="H2" s="326"/>
      <c r="I2" s="327" t="s">
        <v>331</v>
      </c>
      <c r="J2" s="328"/>
    </row>
    <row r="3" spans="1:11" s="4" customFormat="1" ht="47.25" customHeight="1" x14ac:dyDescent="0.2">
      <c r="A3" s="187" t="s">
        <v>0</v>
      </c>
      <c r="B3" s="66" t="s">
        <v>123</v>
      </c>
      <c r="C3" s="66" t="s">
        <v>1</v>
      </c>
      <c r="D3" s="123" t="s">
        <v>126</v>
      </c>
      <c r="E3" s="67" t="s">
        <v>137</v>
      </c>
      <c r="F3" s="67" t="s">
        <v>144</v>
      </c>
      <c r="G3" s="124" t="s">
        <v>145</v>
      </c>
      <c r="H3" s="66" t="s">
        <v>385</v>
      </c>
      <c r="I3" s="66" t="s">
        <v>386</v>
      </c>
      <c r="J3" s="188" t="s">
        <v>265</v>
      </c>
    </row>
    <row r="4" spans="1:11" s="4" customFormat="1" ht="52.5" customHeight="1" x14ac:dyDescent="0.2">
      <c r="A4" s="189" t="s">
        <v>41</v>
      </c>
      <c r="B4" s="46" t="s">
        <v>24</v>
      </c>
      <c r="C4" s="46"/>
      <c r="D4" s="125">
        <v>1817771</v>
      </c>
      <c r="E4" s="126">
        <v>7.6388888888888895E-2</v>
      </c>
      <c r="F4" s="127" t="s">
        <v>159</v>
      </c>
      <c r="G4" s="128">
        <v>0.5988</v>
      </c>
      <c r="H4" s="125">
        <v>2238598</v>
      </c>
      <c r="I4" s="129">
        <f>(D4/1000)*10</f>
        <v>18177.71</v>
      </c>
      <c r="J4" s="190">
        <f>(D4/1000)*10</f>
        <v>18177.71</v>
      </c>
      <c r="K4" s="130"/>
    </row>
    <row r="5" spans="1:11" s="4" customFormat="1" ht="47.25" customHeight="1" x14ac:dyDescent="0.2">
      <c r="A5" s="191" t="s">
        <v>63</v>
      </c>
      <c r="B5" s="146" t="s">
        <v>30</v>
      </c>
      <c r="C5" s="146"/>
      <c r="D5" s="147">
        <v>1566222</v>
      </c>
      <c r="E5" s="148">
        <v>7.013888888888889E-2</v>
      </c>
      <c r="F5" s="149" t="s">
        <v>199</v>
      </c>
      <c r="G5" s="150">
        <v>0.28449999999999998</v>
      </c>
      <c r="H5" s="151">
        <v>3322704</v>
      </c>
      <c r="I5" s="152">
        <f t="shared" ref="I5:I33" si="0">(D5/1000)*10</f>
        <v>15662.22</v>
      </c>
      <c r="J5" s="192">
        <f t="shared" ref="J5:J33" si="1">(D5/1000)*10</f>
        <v>15662.22</v>
      </c>
    </row>
    <row r="6" spans="1:11" s="4" customFormat="1" ht="13.9" customHeight="1" x14ac:dyDescent="0.2">
      <c r="A6" s="193" t="s">
        <v>136</v>
      </c>
      <c r="D6" s="131">
        <v>755396</v>
      </c>
      <c r="E6" s="132">
        <v>0.10972222222222222</v>
      </c>
      <c r="F6" s="132"/>
      <c r="G6" s="133">
        <v>0.54849999999999999</v>
      </c>
      <c r="H6" s="134">
        <v>2149369</v>
      </c>
      <c r="I6" s="129">
        <f t="shared" si="0"/>
        <v>7553.9599999999991</v>
      </c>
      <c r="J6" s="190">
        <f t="shared" si="1"/>
        <v>7553.9599999999991</v>
      </c>
      <c r="K6" s="135"/>
    </row>
    <row r="7" spans="1:11" s="4" customFormat="1" ht="28.5" customHeight="1" x14ac:dyDescent="0.2">
      <c r="A7" s="194" t="s">
        <v>49</v>
      </c>
      <c r="B7" s="112" t="s">
        <v>29</v>
      </c>
      <c r="C7" s="112"/>
      <c r="D7" s="153">
        <v>631442</v>
      </c>
      <c r="E7" s="154">
        <v>9.1666666666666674E-2</v>
      </c>
      <c r="F7" s="155" t="s">
        <v>171</v>
      </c>
      <c r="G7" s="156">
        <v>0.2913</v>
      </c>
      <c r="H7" s="115">
        <v>1646503</v>
      </c>
      <c r="I7" s="152">
        <f t="shared" si="0"/>
        <v>6314.42</v>
      </c>
      <c r="J7" s="192">
        <f t="shared" si="1"/>
        <v>6314.42</v>
      </c>
    </row>
    <row r="8" spans="1:11" ht="15" customHeight="1" x14ac:dyDescent="0.2">
      <c r="A8" s="195" t="s">
        <v>72</v>
      </c>
      <c r="B8" s="16" t="s">
        <v>19</v>
      </c>
      <c r="D8" s="89">
        <v>519888</v>
      </c>
      <c r="H8" s="25">
        <v>339930</v>
      </c>
      <c r="I8" s="129">
        <f t="shared" si="0"/>
        <v>5198.88</v>
      </c>
      <c r="J8" s="190">
        <f t="shared" si="1"/>
        <v>5198.88</v>
      </c>
    </row>
    <row r="9" spans="1:11" ht="42" customHeight="1" x14ac:dyDescent="0.2">
      <c r="A9" s="196" t="s">
        <v>114</v>
      </c>
      <c r="B9" s="112" t="s">
        <v>18</v>
      </c>
      <c r="C9" s="112"/>
      <c r="D9" s="153">
        <v>472117</v>
      </c>
      <c r="E9" s="154">
        <v>2.1527777777777781E-2</v>
      </c>
      <c r="F9" s="155" t="s">
        <v>201</v>
      </c>
      <c r="G9" s="156">
        <v>6.7900000000000002E-2</v>
      </c>
      <c r="H9" s="115">
        <v>1588517</v>
      </c>
      <c r="I9" s="152">
        <f t="shared" si="0"/>
        <v>4721.17</v>
      </c>
      <c r="J9" s="192">
        <f t="shared" si="1"/>
        <v>4721.17</v>
      </c>
      <c r="K9" s="17"/>
    </row>
    <row r="10" spans="1:11" ht="38.25" customHeight="1" x14ac:dyDescent="0.2">
      <c r="A10" s="197" t="s">
        <v>89</v>
      </c>
      <c r="B10" s="16" t="s">
        <v>112</v>
      </c>
      <c r="D10" s="34">
        <v>413027</v>
      </c>
      <c r="E10" s="136">
        <v>0.11944444444444445</v>
      </c>
      <c r="F10" s="137" t="s">
        <v>166</v>
      </c>
      <c r="G10" s="35">
        <v>0.53369999999999995</v>
      </c>
      <c r="H10" s="25">
        <v>1140524</v>
      </c>
      <c r="I10" s="129">
        <f t="shared" si="0"/>
        <v>4130.2699999999995</v>
      </c>
      <c r="J10" s="190">
        <f t="shared" si="1"/>
        <v>4130.2699999999995</v>
      </c>
      <c r="K10" s="138"/>
    </row>
    <row r="11" spans="1:11" ht="36" customHeight="1" x14ac:dyDescent="0.2">
      <c r="A11" s="196" t="s">
        <v>51</v>
      </c>
      <c r="B11" s="112" t="s">
        <v>23</v>
      </c>
      <c r="C11" s="112"/>
      <c r="D11" s="115">
        <v>338279</v>
      </c>
      <c r="E11" s="154">
        <v>6.7361111111111108E-2</v>
      </c>
      <c r="F11" s="155" t="s">
        <v>146</v>
      </c>
      <c r="G11" s="156"/>
      <c r="H11" s="115">
        <v>601304</v>
      </c>
      <c r="I11" s="152">
        <f t="shared" si="0"/>
        <v>3382.79</v>
      </c>
      <c r="J11" s="192">
        <f t="shared" si="1"/>
        <v>3382.79</v>
      </c>
      <c r="K11" s="138"/>
    </row>
    <row r="12" spans="1:11" ht="40.5" customHeight="1" x14ac:dyDescent="0.2">
      <c r="A12" s="198" t="s">
        <v>78</v>
      </c>
      <c r="B12" s="16" t="s">
        <v>26</v>
      </c>
      <c r="D12" s="139">
        <v>241856</v>
      </c>
      <c r="E12" s="16">
        <v>2.5099999999999998</v>
      </c>
      <c r="F12" s="137" t="s">
        <v>149</v>
      </c>
      <c r="G12" s="140">
        <v>70.5</v>
      </c>
      <c r="H12" s="139">
        <v>289369</v>
      </c>
      <c r="I12" s="129">
        <f t="shared" si="0"/>
        <v>2418.56</v>
      </c>
      <c r="J12" s="190">
        <f t="shared" si="1"/>
        <v>2418.56</v>
      </c>
      <c r="K12" s="138"/>
    </row>
    <row r="13" spans="1:11" ht="15" customHeight="1" x14ac:dyDescent="0.2">
      <c r="A13" s="199" t="s">
        <v>200</v>
      </c>
      <c r="B13" s="157"/>
      <c r="C13" s="157"/>
      <c r="D13" s="158">
        <v>196930</v>
      </c>
      <c r="E13" s="159">
        <v>4.6527777777777779E-2</v>
      </c>
      <c r="F13" s="159"/>
      <c r="G13" s="160">
        <v>0.39829999999999999</v>
      </c>
      <c r="H13" s="161">
        <v>253886</v>
      </c>
      <c r="I13" s="152">
        <f t="shared" si="0"/>
        <v>1969.3000000000002</v>
      </c>
      <c r="J13" s="192">
        <f t="shared" si="1"/>
        <v>1969.3000000000002</v>
      </c>
      <c r="K13" s="138"/>
    </row>
    <row r="14" spans="1:11" ht="15" customHeight="1" x14ac:dyDescent="0.2">
      <c r="A14" s="200" t="s">
        <v>157</v>
      </c>
      <c r="B14" s="16" t="s">
        <v>105</v>
      </c>
      <c r="D14" s="34">
        <v>163268</v>
      </c>
      <c r="E14" s="136">
        <v>0.14166666666666666</v>
      </c>
      <c r="G14" s="35">
        <v>0.505</v>
      </c>
      <c r="H14" s="25"/>
      <c r="I14" s="129">
        <f t="shared" si="0"/>
        <v>1632.68</v>
      </c>
      <c r="J14" s="190">
        <f t="shared" si="1"/>
        <v>1632.68</v>
      </c>
      <c r="K14" s="17"/>
    </row>
    <row r="15" spans="1:11" ht="15" customHeight="1" x14ac:dyDescent="0.2">
      <c r="A15" s="194" t="s">
        <v>100</v>
      </c>
      <c r="B15" s="112" t="s">
        <v>105</v>
      </c>
      <c r="C15" s="112"/>
      <c r="D15" s="153">
        <v>156145</v>
      </c>
      <c r="E15" s="154">
        <v>9.5138888888888884E-2</v>
      </c>
      <c r="F15" s="162"/>
      <c r="G15" s="156">
        <v>0.55900000000000005</v>
      </c>
      <c r="H15" s="115"/>
      <c r="I15" s="152">
        <f t="shared" si="0"/>
        <v>1561.45</v>
      </c>
      <c r="J15" s="192">
        <f t="shared" si="1"/>
        <v>1561.45</v>
      </c>
      <c r="K15" s="138"/>
    </row>
    <row r="16" spans="1:11" ht="45.75" customHeight="1" x14ac:dyDescent="0.2">
      <c r="A16" s="200" t="s">
        <v>91</v>
      </c>
      <c r="B16" s="16" t="s">
        <v>111</v>
      </c>
      <c r="D16" s="139">
        <v>125735</v>
      </c>
      <c r="E16" s="141">
        <v>0.10902777777777778</v>
      </c>
      <c r="F16" s="142" t="s">
        <v>165</v>
      </c>
      <c r="G16" s="140">
        <v>0.67969999999999997</v>
      </c>
      <c r="H16" s="25">
        <v>219500</v>
      </c>
      <c r="I16" s="129">
        <f t="shared" si="0"/>
        <v>1257.3499999999999</v>
      </c>
      <c r="J16" s="190">
        <f t="shared" si="1"/>
        <v>1257.3499999999999</v>
      </c>
      <c r="K16" s="138"/>
    </row>
    <row r="17" spans="1:11" ht="48" customHeight="1" x14ac:dyDescent="0.2">
      <c r="A17" s="196" t="s">
        <v>64</v>
      </c>
      <c r="B17" s="112" t="s">
        <v>32</v>
      </c>
      <c r="C17" s="112"/>
      <c r="D17" s="153">
        <v>125247</v>
      </c>
      <c r="E17" s="163">
        <v>0.15486111111111112</v>
      </c>
      <c r="F17" s="155" t="s">
        <v>170</v>
      </c>
      <c r="G17" s="156">
        <v>0.45500000000000002</v>
      </c>
      <c r="H17" s="115">
        <v>224943</v>
      </c>
      <c r="I17" s="152">
        <f t="shared" si="0"/>
        <v>1252.47</v>
      </c>
      <c r="J17" s="192">
        <f t="shared" si="1"/>
        <v>1252.47</v>
      </c>
      <c r="K17" s="138"/>
    </row>
    <row r="18" spans="1:11" ht="59.25" customHeight="1" x14ac:dyDescent="0.2">
      <c r="A18" s="201" t="s">
        <v>68</v>
      </c>
      <c r="B18" s="16" t="s">
        <v>113</v>
      </c>
      <c r="D18" s="34">
        <v>120000</v>
      </c>
      <c r="E18" s="7" t="s">
        <v>167</v>
      </c>
      <c r="F18" s="137" t="s">
        <v>202</v>
      </c>
      <c r="G18" s="35" t="s">
        <v>167</v>
      </c>
      <c r="H18" s="25">
        <v>180000</v>
      </c>
      <c r="I18" s="129">
        <f t="shared" si="0"/>
        <v>1200</v>
      </c>
      <c r="J18" s="190">
        <f t="shared" si="1"/>
        <v>1200</v>
      </c>
      <c r="K18" s="138"/>
    </row>
    <row r="19" spans="1:11" ht="15" customHeight="1" x14ac:dyDescent="0.2">
      <c r="A19" s="202" t="s">
        <v>153</v>
      </c>
      <c r="B19" s="112"/>
      <c r="C19" s="112"/>
      <c r="D19" s="115">
        <v>118889</v>
      </c>
      <c r="E19" s="164">
        <v>9.930555555555555E-2</v>
      </c>
      <c r="F19" s="155"/>
      <c r="G19" s="165">
        <v>0.59230000000000005</v>
      </c>
      <c r="H19" s="115"/>
      <c r="I19" s="152">
        <f t="shared" si="0"/>
        <v>1188.8899999999999</v>
      </c>
      <c r="J19" s="192">
        <f t="shared" si="1"/>
        <v>1188.8899999999999</v>
      </c>
      <c r="K19" s="138"/>
    </row>
    <row r="20" spans="1:11" ht="15" customHeight="1" x14ac:dyDescent="0.2">
      <c r="A20" s="195" t="s">
        <v>155</v>
      </c>
      <c r="D20" s="139">
        <v>110206</v>
      </c>
      <c r="E20" s="141">
        <v>9.375E-2</v>
      </c>
      <c r="F20" s="16"/>
      <c r="G20" s="140">
        <v>0.56330000000000002</v>
      </c>
      <c r="H20" s="25"/>
      <c r="I20" s="129">
        <f t="shared" si="0"/>
        <v>1102.06</v>
      </c>
      <c r="J20" s="190">
        <f t="shared" si="1"/>
        <v>1102.06</v>
      </c>
      <c r="K20" s="17"/>
    </row>
    <row r="21" spans="1:11" ht="15" customHeight="1" x14ac:dyDescent="0.2">
      <c r="A21" s="202" t="s">
        <v>101</v>
      </c>
      <c r="B21" s="112" t="s">
        <v>105</v>
      </c>
      <c r="C21" s="112"/>
      <c r="D21" s="153">
        <v>109267</v>
      </c>
      <c r="E21" s="154">
        <v>8.4722222222222213E-2</v>
      </c>
      <c r="F21" s="162"/>
      <c r="G21" s="156">
        <v>0.59230000000000005</v>
      </c>
      <c r="H21" s="115"/>
      <c r="I21" s="152">
        <f t="shared" si="0"/>
        <v>1092.67</v>
      </c>
      <c r="J21" s="192">
        <f t="shared" si="1"/>
        <v>1092.67</v>
      </c>
      <c r="K21" s="138"/>
    </row>
    <row r="22" spans="1:11" ht="63.75" customHeight="1" x14ac:dyDescent="0.2">
      <c r="A22" s="195" t="s">
        <v>77</v>
      </c>
      <c r="B22" s="16" t="s">
        <v>9</v>
      </c>
      <c r="D22" s="139">
        <v>104586</v>
      </c>
      <c r="E22" s="141">
        <v>0.11180555555555556</v>
      </c>
      <c r="F22" s="142" t="s">
        <v>160</v>
      </c>
      <c r="G22" s="140">
        <v>0.55920000000000003</v>
      </c>
      <c r="H22" s="139">
        <v>208569</v>
      </c>
      <c r="I22" s="129">
        <f t="shared" si="0"/>
        <v>1045.8599999999999</v>
      </c>
      <c r="J22" s="190">
        <f t="shared" si="1"/>
        <v>1045.8599999999999</v>
      </c>
    </row>
    <row r="23" spans="1:11" ht="67.5" customHeight="1" x14ac:dyDescent="0.2">
      <c r="A23" s="196" t="s">
        <v>44</v>
      </c>
      <c r="B23" s="112" t="s">
        <v>13</v>
      </c>
      <c r="C23" s="112"/>
      <c r="D23" s="115">
        <v>103643</v>
      </c>
      <c r="E23" s="164">
        <v>8.6111111111111124E-2</v>
      </c>
      <c r="F23" s="166" t="s">
        <v>163</v>
      </c>
      <c r="G23" s="165">
        <v>0.21</v>
      </c>
      <c r="H23" s="115">
        <v>125074</v>
      </c>
      <c r="I23" s="152">
        <f t="shared" si="0"/>
        <v>1036.43</v>
      </c>
      <c r="J23" s="192">
        <f t="shared" si="1"/>
        <v>1036.43</v>
      </c>
    </row>
    <row r="24" spans="1:11" ht="60.75" customHeight="1" x14ac:dyDescent="0.2">
      <c r="A24" s="198" t="s">
        <v>66</v>
      </c>
      <c r="B24" s="16" t="s">
        <v>31</v>
      </c>
      <c r="D24" s="16">
        <v>78196</v>
      </c>
      <c r="E24" s="136">
        <v>0.18611111111111112</v>
      </c>
      <c r="F24" s="137" t="s">
        <v>162</v>
      </c>
      <c r="H24" s="16">
        <v>124046</v>
      </c>
      <c r="I24" s="129">
        <f t="shared" si="0"/>
        <v>781.96</v>
      </c>
      <c r="J24" s="190">
        <f t="shared" si="1"/>
        <v>781.96</v>
      </c>
    </row>
    <row r="25" spans="1:11" ht="51.75" customHeight="1" x14ac:dyDescent="0.2">
      <c r="A25" s="202" t="s">
        <v>153</v>
      </c>
      <c r="B25" s="112" t="s">
        <v>108</v>
      </c>
      <c r="C25" s="112"/>
      <c r="D25" s="115">
        <v>65655</v>
      </c>
      <c r="E25" s="164">
        <v>9.9999999999999992E-2</v>
      </c>
      <c r="F25" s="155" t="s">
        <v>147</v>
      </c>
      <c r="G25" s="165">
        <v>0.55789999999999995</v>
      </c>
      <c r="H25" s="115">
        <v>326800</v>
      </c>
      <c r="I25" s="152">
        <f t="shared" si="0"/>
        <v>656.55</v>
      </c>
      <c r="J25" s="192">
        <f t="shared" si="1"/>
        <v>656.55</v>
      </c>
    </row>
    <row r="26" spans="1:11" ht="15" customHeight="1" x14ac:dyDescent="0.2">
      <c r="A26" s="200" t="s">
        <v>156</v>
      </c>
      <c r="B26" s="16" t="s">
        <v>105</v>
      </c>
      <c r="D26" s="139">
        <v>63304</v>
      </c>
      <c r="E26" s="143">
        <v>1.73</v>
      </c>
      <c r="F26" s="16"/>
      <c r="G26" s="140">
        <v>0.57399999999999995</v>
      </c>
      <c r="H26" s="139">
        <v>122783</v>
      </c>
      <c r="I26" s="129">
        <f t="shared" si="0"/>
        <v>633.04</v>
      </c>
      <c r="J26" s="190">
        <f t="shared" si="1"/>
        <v>633.04</v>
      </c>
    </row>
    <row r="27" spans="1:11" ht="57.6" customHeight="1" x14ac:dyDescent="0.2">
      <c r="A27" s="194" t="s">
        <v>324</v>
      </c>
      <c r="B27" s="112" t="s">
        <v>104</v>
      </c>
      <c r="C27" s="112"/>
      <c r="D27" s="153">
        <f>H27/2</f>
        <v>28853.5</v>
      </c>
      <c r="E27" s="154">
        <v>8.7500000000000008E-2</v>
      </c>
      <c r="F27" s="155" t="s">
        <v>161</v>
      </c>
      <c r="G27" s="165">
        <v>0.62619999999999998</v>
      </c>
      <c r="H27" s="115">
        <v>57707</v>
      </c>
      <c r="I27" s="152">
        <f t="shared" si="0"/>
        <v>288.53500000000003</v>
      </c>
      <c r="J27" s="192">
        <f t="shared" si="1"/>
        <v>288.53500000000003</v>
      </c>
    </row>
    <row r="28" spans="1:11" ht="67.5" customHeight="1" x14ac:dyDescent="0.2">
      <c r="A28" s="198" t="s">
        <v>57</v>
      </c>
      <c r="B28" s="16" t="s">
        <v>15</v>
      </c>
      <c r="D28" s="139">
        <v>28231</v>
      </c>
      <c r="E28" s="141">
        <v>7.6388888888888895E-2</v>
      </c>
      <c r="F28" s="142" t="s">
        <v>172</v>
      </c>
      <c r="G28" s="140">
        <v>0.52780000000000005</v>
      </c>
      <c r="H28" s="25">
        <v>45956</v>
      </c>
      <c r="I28" s="129">
        <f t="shared" si="0"/>
        <v>282.31</v>
      </c>
      <c r="J28" s="190">
        <f t="shared" si="1"/>
        <v>282.31</v>
      </c>
    </row>
    <row r="29" spans="1:11" ht="15" customHeight="1" x14ac:dyDescent="0.2">
      <c r="A29" s="196" t="s">
        <v>93</v>
      </c>
      <c r="B29" s="112" t="s">
        <v>105</v>
      </c>
      <c r="C29" s="112"/>
      <c r="D29" s="115">
        <v>22993</v>
      </c>
      <c r="E29" s="164">
        <v>9.0972222222222218E-2</v>
      </c>
      <c r="F29" s="112"/>
      <c r="G29" s="165">
        <v>0.59770000000000001</v>
      </c>
      <c r="H29" s="115"/>
      <c r="I29" s="152">
        <f t="shared" si="0"/>
        <v>229.92999999999998</v>
      </c>
      <c r="J29" s="192">
        <f t="shared" si="1"/>
        <v>229.92999999999998</v>
      </c>
    </row>
    <row r="30" spans="1:11" ht="61.5" customHeight="1" x14ac:dyDescent="0.2">
      <c r="A30" s="195" t="s">
        <v>53</v>
      </c>
      <c r="B30" s="16" t="s">
        <v>15</v>
      </c>
      <c r="D30" s="139">
        <v>20233</v>
      </c>
      <c r="E30" s="141">
        <v>0.13958333333333334</v>
      </c>
      <c r="F30" s="142" t="s">
        <v>150</v>
      </c>
      <c r="G30" s="140">
        <v>0.74739999999999995</v>
      </c>
      <c r="H30" s="139">
        <v>35403</v>
      </c>
      <c r="I30" s="129">
        <f t="shared" si="0"/>
        <v>202.33</v>
      </c>
      <c r="J30" s="190">
        <f t="shared" si="1"/>
        <v>202.33</v>
      </c>
    </row>
    <row r="31" spans="1:11" ht="15" customHeight="1" x14ac:dyDescent="0.2">
      <c r="A31" s="196" t="s">
        <v>152</v>
      </c>
      <c r="B31" s="112"/>
      <c r="C31" s="112"/>
      <c r="D31" s="153">
        <v>16893</v>
      </c>
      <c r="E31" s="154">
        <v>0.11180555555555556</v>
      </c>
      <c r="F31" s="162"/>
      <c r="G31" s="156">
        <v>0.52449999999999997</v>
      </c>
      <c r="H31" s="115"/>
      <c r="I31" s="152">
        <f t="shared" si="0"/>
        <v>168.93</v>
      </c>
      <c r="J31" s="192">
        <f t="shared" si="1"/>
        <v>168.93</v>
      </c>
    </row>
    <row r="32" spans="1:11" ht="15" customHeight="1" x14ac:dyDescent="0.2">
      <c r="A32" s="195" t="s">
        <v>94</v>
      </c>
      <c r="B32" s="16" t="s">
        <v>105</v>
      </c>
      <c r="D32" s="139">
        <v>16814</v>
      </c>
      <c r="E32" s="141">
        <v>8.5416666666666655E-2</v>
      </c>
      <c r="F32" s="16"/>
      <c r="G32" s="140">
        <v>0.60419999999999996</v>
      </c>
      <c r="H32" s="25"/>
      <c r="I32" s="129">
        <f t="shared" si="0"/>
        <v>168.14</v>
      </c>
      <c r="J32" s="190">
        <f t="shared" si="1"/>
        <v>168.14</v>
      </c>
    </row>
    <row r="33" spans="1:10" ht="15" customHeight="1" thickBot="1" x14ac:dyDescent="0.25">
      <c r="A33" s="203" t="s">
        <v>154</v>
      </c>
      <c r="B33" s="204"/>
      <c r="C33" s="204"/>
      <c r="D33" s="205">
        <v>12350</v>
      </c>
      <c r="E33" s="206">
        <v>7.1527777777777787E-2</v>
      </c>
      <c r="F33" s="204"/>
      <c r="G33" s="207">
        <v>0.54700000000000004</v>
      </c>
      <c r="H33" s="205"/>
      <c r="I33" s="208">
        <f t="shared" si="0"/>
        <v>123.5</v>
      </c>
      <c r="J33" s="209">
        <f t="shared" si="1"/>
        <v>123.5</v>
      </c>
    </row>
    <row r="34" spans="1:10" ht="15" customHeight="1" x14ac:dyDescent="0.2">
      <c r="I34" s="8"/>
      <c r="J34" s="8"/>
    </row>
    <row r="35" spans="1:10" ht="15" customHeight="1" x14ac:dyDescent="0.2">
      <c r="I35" s="8"/>
      <c r="J35" s="8"/>
    </row>
    <row r="36" spans="1:10" ht="15" customHeight="1" x14ac:dyDescent="0.2">
      <c r="I36" s="8"/>
      <c r="J36" s="8"/>
    </row>
    <row r="37" spans="1:10" ht="15" customHeight="1" x14ac:dyDescent="0.2">
      <c r="I37" s="8"/>
      <c r="J37" s="8"/>
    </row>
    <row r="38" spans="1:10" ht="15" customHeight="1" x14ac:dyDescent="0.2">
      <c r="I38" s="8"/>
      <c r="J38" s="8"/>
    </row>
    <row r="39" spans="1:10" ht="15" customHeight="1" x14ac:dyDescent="0.2">
      <c r="I39" s="8"/>
      <c r="J39" s="8"/>
    </row>
    <row r="40" spans="1:10" ht="15" customHeight="1" x14ac:dyDescent="0.2">
      <c r="I40" s="8"/>
      <c r="J40" s="8"/>
    </row>
    <row r="41" spans="1:10" ht="15" customHeight="1" x14ac:dyDescent="0.2">
      <c r="I41" s="8"/>
      <c r="J41" s="8"/>
    </row>
    <row r="42" spans="1:10" ht="15" customHeight="1" x14ac:dyDescent="0.2">
      <c r="I42" s="8"/>
      <c r="J42" s="8"/>
    </row>
    <row r="43" spans="1:10" ht="15" customHeight="1" x14ac:dyDescent="0.2">
      <c r="I43" s="8"/>
      <c r="J43" s="8"/>
    </row>
    <row r="44" spans="1:10" ht="15" customHeight="1" x14ac:dyDescent="0.2">
      <c r="I44" s="8"/>
      <c r="J44" s="8"/>
    </row>
    <row r="45" spans="1:10" ht="15" customHeight="1" x14ac:dyDescent="0.2">
      <c r="I45" s="8"/>
      <c r="J45" s="8"/>
    </row>
    <row r="46" spans="1:10" ht="15" customHeight="1" x14ac:dyDescent="0.2">
      <c r="I46" s="8"/>
      <c r="J46" s="8"/>
    </row>
    <row r="47" spans="1:10" ht="15" customHeight="1" x14ac:dyDescent="0.2">
      <c r="I47" s="8"/>
      <c r="J47" s="8"/>
    </row>
    <row r="48" spans="1:10" ht="15" customHeight="1" x14ac:dyDescent="0.2">
      <c r="I48" s="8"/>
      <c r="J48" s="8"/>
    </row>
    <row r="49" spans="9:10" ht="15" customHeight="1" x14ac:dyDescent="0.2">
      <c r="I49" s="8"/>
      <c r="J49" s="8"/>
    </row>
    <row r="50" spans="9:10" ht="15" customHeight="1" x14ac:dyDescent="0.2">
      <c r="I50" s="8"/>
      <c r="J50" s="8"/>
    </row>
    <row r="51" spans="9:10" ht="15" customHeight="1" x14ac:dyDescent="0.2">
      <c r="I51" s="8"/>
      <c r="J51" s="8"/>
    </row>
    <row r="52" spans="9:10" ht="15" customHeight="1" x14ac:dyDescent="0.2">
      <c r="I52" s="8"/>
      <c r="J52" s="8"/>
    </row>
    <row r="53" spans="9:10" ht="15" customHeight="1" x14ac:dyDescent="0.2">
      <c r="I53" s="8"/>
      <c r="J53" s="8"/>
    </row>
    <row r="54" spans="9:10" ht="15" customHeight="1" x14ac:dyDescent="0.2">
      <c r="I54" s="8"/>
      <c r="J54" s="8"/>
    </row>
    <row r="55" spans="9:10" ht="15" customHeight="1" x14ac:dyDescent="0.2">
      <c r="I55" s="8"/>
      <c r="J55" s="8"/>
    </row>
    <row r="56" spans="9:10" ht="15" customHeight="1" x14ac:dyDescent="0.2">
      <c r="I56" s="8"/>
      <c r="J56" s="8"/>
    </row>
    <row r="57" spans="9:10" ht="15" customHeight="1" x14ac:dyDescent="0.2">
      <c r="I57" s="8"/>
      <c r="J57" s="8"/>
    </row>
    <row r="58" spans="9:10" ht="15" customHeight="1" x14ac:dyDescent="0.2">
      <c r="I58" s="8"/>
      <c r="J58" s="8"/>
    </row>
    <row r="59" spans="9:10" ht="15" customHeight="1" x14ac:dyDescent="0.2">
      <c r="I59" s="8"/>
      <c r="J59" s="8"/>
    </row>
    <row r="60" spans="9:10" ht="15" customHeight="1" x14ac:dyDescent="0.2">
      <c r="I60" s="8"/>
      <c r="J60" s="8"/>
    </row>
    <row r="61" spans="9:10" ht="15" customHeight="1" x14ac:dyDescent="0.2">
      <c r="I61" s="8"/>
      <c r="J61" s="8"/>
    </row>
    <row r="62" spans="9:10" ht="15" customHeight="1" x14ac:dyDescent="0.2">
      <c r="I62" s="8"/>
      <c r="J62" s="8"/>
    </row>
    <row r="63" spans="9:10" ht="15" customHeight="1" x14ac:dyDescent="0.2">
      <c r="I63" s="8"/>
      <c r="J63" s="8"/>
    </row>
    <row r="64" spans="9:10" ht="15" customHeight="1" x14ac:dyDescent="0.2">
      <c r="I64" s="8"/>
      <c r="J64" s="8"/>
    </row>
    <row r="65" spans="9:10" ht="15" customHeight="1" x14ac:dyDescent="0.2">
      <c r="I65" s="8"/>
      <c r="J65" s="8"/>
    </row>
    <row r="66" spans="9:10" ht="15" customHeight="1" x14ac:dyDescent="0.2">
      <c r="I66" s="8"/>
      <c r="J66" s="8"/>
    </row>
    <row r="67" spans="9:10" ht="15" customHeight="1" x14ac:dyDescent="0.2">
      <c r="I67" s="8"/>
      <c r="J67" s="8"/>
    </row>
    <row r="68" spans="9:10" ht="15" customHeight="1" x14ac:dyDescent="0.2">
      <c r="I68" s="8"/>
      <c r="J68" s="8"/>
    </row>
    <row r="69" spans="9:10" ht="15" customHeight="1" x14ac:dyDescent="0.2">
      <c r="I69" s="8"/>
      <c r="J69" s="8"/>
    </row>
    <row r="70" spans="9:10" ht="15" customHeight="1" x14ac:dyDescent="0.2">
      <c r="I70" s="8"/>
      <c r="J70" s="8"/>
    </row>
    <row r="71" spans="9:10" ht="15" customHeight="1" x14ac:dyDescent="0.2">
      <c r="I71" s="8"/>
      <c r="J71" s="8"/>
    </row>
    <row r="72" spans="9:10" ht="15" customHeight="1" x14ac:dyDescent="0.2">
      <c r="I72" s="8"/>
      <c r="J72" s="8"/>
    </row>
    <row r="73" spans="9:10" ht="15" customHeight="1" x14ac:dyDescent="0.2">
      <c r="I73" s="8"/>
      <c r="J73" s="8"/>
    </row>
    <row r="74" spans="9:10" ht="15" customHeight="1" x14ac:dyDescent="0.2">
      <c r="I74" s="8"/>
      <c r="J74" s="8"/>
    </row>
    <row r="75" spans="9:10" ht="15" customHeight="1" x14ac:dyDescent="0.2">
      <c r="I75" s="8"/>
      <c r="J75" s="8"/>
    </row>
    <row r="76" spans="9:10" ht="15" customHeight="1" x14ac:dyDescent="0.2">
      <c r="I76" s="8"/>
      <c r="J76" s="8"/>
    </row>
    <row r="77" spans="9:10" ht="15" customHeight="1" x14ac:dyDescent="0.2">
      <c r="I77" s="8"/>
      <c r="J77" s="8"/>
    </row>
    <row r="78" spans="9:10" ht="15" customHeight="1" x14ac:dyDescent="0.2">
      <c r="I78" s="8"/>
      <c r="J78" s="8"/>
    </row>
    <row r="79" spans="9:10" ht="15" customHeight="1" x14ac:dyDescent="0.2">
      <c r="I79" s="8"/>
      <c r="J79" s="8"/>
    </row>
    <row r="80" spans="9:10" ht="15" customHeight="1" x14ac:dyDescent="0.2">
      <c r="I80" s="8"/>
      <c r="J80" s="8"/>
    </row>
    <row r="81" spans="9:10" ht="15" customHeight="1" x14ac:dyDescent="0.2">
      <c r="I81" s="8"/>
      <c r="J81" s="8"/>
    </row>
    <row r="82" spans="9:10" ht="15" customHeight="1" x14ac:dyDescent="0.2">
      <c r="I82" s="8"/>
      <c r="J82" s="8"/>
    </row>
    <row r="83" spans="9:10" ht="15" customHeight="1" x14ac:dyDescent="0.2">
      <c r="I83" s="8"/>
      <c r="J83" s="8"/>
    </row>
    <row r="84" spans="9:10" ht="15" customHeight="1" x14ac:dyDescent="0.2">
      <c r="I84" s="8"/>
      <c r="J84" s="8"/>
    </row>
    <row r="85" spans="9:10" ht="15" customHeight="1" x14ac:dyDescent="0.2">
      <c r="I85" s="8"/>
      <c r="J85" s="8"/>
    </row>
    <row r="86" spans="9:10" ht="15" customHeight="1" x14ac:dyDescent="0.2">
      <c r="I86" s="8"/>
      <c r="J86" s="8"/>
    </row>
    <row r="87" spans="9:10" ht="15" customHeight="1" x14ac:dyDescent="0.2">
      <c r="I87" s="8"/>
      <c r="J87" s="8"/>
    </row>
    <row r="88" spans="9:10" ht="15" customHeight="1" x14ac:dyDescent="0.2">
      <c r="I88" s="8"/>
      <c r="J88" s="8"/>
    </row>
    <row r="89" spans="9:10" ht="15" customHeight="1" x14ac:dyDescent="0.2">
      <c r="I89" s="8"/>
      <c r="J89" s="8"/>
    </row>
    <row r="90" spans="9:10" ht="15" customHeight="1" x14ac:dyDescent="0.2">
      <c r="I90" s="8"/>
      <c r="J90" s="8"/>
    </row>
    <row r="91" spans="9:10" ht="15" customHeight="1" x14ac:dyDescent="0.2">
      <c r="I91" s="8"/>
      <c r="J91" s="8"/>
    </row>
    <row r="92" spans="9:10" ht="15" customHeight="1" x14ac:dyDescent="0.2">
      <c r="I92" s="8"/>
      <c r="J92" s="8"/>
    </row>
    <row r="93" spans="9:10" ht="15" customHeight="1" x14ac:dyDescent="0.2">
      <c r="I93" s="8"/>
      <c r="J93" s="8"/>
    </row>
    <row r="94" spans="9:10" ht="15" customHeight="1" x14ac:dyDescent="0.2">
      <c r="I94" s="8"/>
      <c r="J94" s="8"/>
    </row>
    <row r="95" spans="9:10" ht="15" customHeight="1" x14ac:dyDescent="0.2">
      <c r="I95" s="8"/>
      <c r="J95" s="8"/>
    </row>
    <row r="96" spans="9:10" ht="15" customHeight="1" x14ac:dyDescent="0.2">
      <c r="I96" s="8"/>
      <c r="J96" s="8"/>
    </row>
    <row r="97" spans="9:10" ht="15" customHeight="1" x14ac:dyDescent="0.2">
      <c r="I97" s="8"/>
      <c r="J97" s="8"/>
    </row>
    <row r="98" spans="9:10" ht="15" customHeight="1" x14ac:dyDescent="0.2">
      <c r="I98" s="8"/>
      <c r="J98" s="8"/>
    </row>
    <row r="99" spans="9:10" ht="15" customHeight="1" x14ac:dyDescent="0.2">
      <c r="I99" s="8"/>
      <c r="J99" s="8"/>
    </row>
    <row r="100" spans="9:10" ht="15" customHeight="1" x14ac:dyDescent="0.2">
      <c r="I100" s="8"/>
      <c r="J100" s="8"/>
    </row>
    <row r="101" spans="9:10" ht="15" customHeight="1" x14ac:dyDescent="0.2">
      <c r="I101" s="8"/>
      <c r="J101" s="8"/>
    </row>
    <row r="102" spans="9:10" ht="15" customHeight="1" x14ac:dyDescent="0.2">
      <c r="I102" s="8"/>
      <c r="J102" s="8"/>
    </row>
    <row r="103" spans="9:10" ht="15" customHeight="1" x14ac:dyDescent="0.2">
      <c r="I103" s="8"/>
      <c r="J103" s="8"/>
    </row>
    <row r="104" spans="9:10" ht="15" customHeight="1" x14ac:dyDescent="0.2">
      <c r="I104" s="8"/>
      <c r="J104" s="8"/>
    </row>
    <row r="105" spans="9:10" ht="15" customHeight="1" x14ac:dyDescent="0.2">
      <c r="I105" s="8"/>
      <c r="J105" s="8"/>
    </row>
    <row r="106" spans="9:10" ht="15" customHeight="1" x14ac:dyDescent="0.2">
      <c r="I106" s="8"/>
      <c r="J106" s="8"/>
    </row>
    <row r="107" spans="9:10" ht="15" customHeight="1" x14ac:dyDescent="0.2">
      <c r="I107" s="8"/>
      <c r="J107" s="8"/>
    </row>
    <row r="108" spans="9:10" ht="15" customHeight="1" x14ac:dyDescent="0.2">
      <c r="I108" s="8"/>
      <c r="J108" s="8"/>
    </row>
    <row r="109" spans="9:10" ht="15" customHeight="1" x14ac:dyDescent="0.2">
      <c r="I109" s="8"/>
      <c r="J109" s="8"/>
    </row>
    <row r="110" spans="9:10" ht="15" customHeight="1" x14ac:dyDescent="0.2">
      <c r="I110" s="8"/>
      <c r="J110" s="8"/>
    </row>
    <row r="111" spans="9:10" ht="15" customHeight="1" x14ac:dyDescent="0.2">
      <c r="I111" s="8"/>
      <c r="J111" s="8"/>
    </row>
    <row r="112" spans="9:10" ht="15" customHeight="1" x14ac:dyDescent="0.2">
      <c r="I112" s="8"/>
      <c r="J112" s="8"/>
    </row>
    <row r="113" spans="9:10" ht="15" customHeight="1" x14ac:dyDescent="0.2">
      <c r="I113" s="8"/>
      <c r="J113" s="8"/>
    </row>
    <row r="114" spans="9:10" ht="15" customHeight="1" x14ac:dyDescent="0.2">
      <c r="I114" s="8"/>
      <c r="J114" s="8"/>
    </row>
    <row r="115" spans="9:10" ht="15" customHeight="1" x14ac:dyDescent="0.2">
      <c r="I115" s="8"/>
      <c r="J115" s="8"/>
    </row>
    <row r="116" spans="9:10" ht="15" customHeight="1" x14ac:dyDescent="0.2">
      <c r="I116" s="8"/>
      <c r="J116" s="8"/>
    </row>
    <row r="117" spans="9:10" ht="15" customHeight="1" x14ac:dyDescent="0.2">
      <c r="I117" s="8"/>
      <c r="J117" s="8"/>
    </row>
    <row r="118" spans="9:10" ht="15" customHeight="1" x14ac:dyDescent="0.2">
      <c r="I118" s="8"/>
      <c r="J118" s="8"/>
    </row>
    <row r="119" spans="9:10" ht="15" customHeight="1" x14ac:dyDescent="0.2">
      <c r="I119" s="8"/>
      <c r="J119" s="8"/>
    </row>
    <row r="120" spans="9:10" ht="15" customHeight="1" x14ac:dyDescent="0.2">
      <c r="I120" s="8"/>
      <c r="J120" s="8"/>
    </row>
    <row r="121" spans="9:10" ht="15" customHeight="1" x14ac:dyDescent="0.2">
      <c r="I121" s="8"/>
      <c r="J121" s="8"/>
    </row>
    <row r="122" spans="9:10" ht="15" customHeight="1" x14ac:dyDescent="0.2">
      <c r="I122" s="8"/>
      <c r="J122" s="8"/>
    </row>
    <row r="123" spans="9:10" ht="15" customHeight="1" x14ac:dyDescent="0.2">
      <c r="I123" s="8"/>
      <c r="J123" s="8"/>
    </row>
    <row r="124" spans="9:10" ht="15" customHeight="1" x14ac:dyDescent="0.2">
      <c r="I124" s="8"/>
      <c r="J124" s="8"/>
    </row>
    <row r="125" spans="9:10" ht="15" customHeight="1" x14ac:dyDescent="0.2">
      <c r="I125" s="8"/>
      <c r="J125" s="8"/>
    </row>
    <row r="126" spans="9:10" ht="15" customHeight="1" x14ac:dyDescent="0.2">
      <c r="I126" s="8"/>
      <c r="J126" s="8"/>
    </row>
  </sheetData>
  <autoFilter ref="A3:J124">
    <sortState ref="A3:N320">
      <sortCondition descending="1" ref="D2:D320"/>
    </sortState>
  </autoFilter>
  <sortState ref="A2:M309">
    <sortCondition ref="A2"/>
  </sortState>
  <mergeCells count="3">
    <mergeCell ref="D2:H2"/>
    <mergeCell ref="I2:J2"/>
    <mergeCell ref="A1:J1"/>
  </mergeCells>
  <pageMargins left="0.7" right="0.7" top="0.75" bottom="0.75" header="0.3" footer="0.3"/>
  <pageSetup paperSize="17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1"/>
  <sheetViews>
    <sheetView workbookViewId="0">
      <pane ySplit="1260"/>
      <selection sqref="A1:XFD1048576"/>
      <selection pane="bottomLeft" activeCell="B2" sqref="B2"/>
    </sheetView>
  </sheetViews>
  <sheetFormatPr defaultColWidth="9.140625" defaultRowHeight="15" customHeight="1" x14ac:dyDescent="0.2"/>
  <cols>
    <col min="1" max="1" width="38.5703125" style="122" customWidth="1"/>
    <col min="2" max="2" width="14.5703125" style="8" customWidth="1"/>
    <col min="3" max="3" width="14.5703125" style="8" hidden="1" customWidth="1"/>
    <col min="4" max="4" width="12" style="8" customWidth="1"/>
    <col min="5" max="5" width="17.140625" style="8" customWidth="1"/>
    <col min="6" max="6" width="16.28515625" style="8" customWidth="1"/>
    <col min="7" max="7" width="16.42578125" style="8" customWidth="1"/>
    <col min="8" max="8" width="12.7109375" style="21" customWidth="1"/>
    <col min="9" max="9" width="12.5703125" style="21" hidden="1" customWidth="1"/>
    <col min="10" max="10" width="11.28515625" style="21" hidden="1" customWidth="1"/>
    <col min="11" max="11" width="10.5703125" style="21" hidden="1" customWidth="1"/>
    <col min="12" max="12" width="7.5703125" style="8" hidden="1" customWidth="1"/>
    <col min="13" max="13" width="10.7109375" style="8" hidden="1" customWidth="1"/>
    <col min="14" max="16384" width="9.140625" style="8"/>
  </cols>
  <sheetData>
    <row r="1" spans="1:19" ht="49.5" customHeight="1" thickBot="1" x14ac:dyDescent="0.3">
      <c r="A1" s="334" t="s">
        <v>379</v>
      </c>
      <c r="B1" s="334"/>
      <c r="C1" s="334"/>
      <c r="D1" s="334"/>
      <c r="E1" s="334"/>
      <c r="F1" s="334"/>
      <c r="G1" s="334"/>
      <c r="H1" s="334"/>
    </row>
    <row r="2" spans="1:19" s="170" customFormat="1" ht="50.25" customHeight="1" x14ac:dyDescent="0.2">
      <c r="A2" s="210" t="s">
        <v>387</v>
      </c>
      <c r="B2" s="211" t="s">
        <v>290</v>
      </c>
      <c r="C2" s="211" t="s">
        <v>355</v>
      </c>
      <c r="D2" s="211" t="s">
        <v>335</v>
      </c>
      <c r="E2" s="211" t="s">
        <v>326</v>
      </c>
      <c r="F2" s="211" t="s">
        <v>361</v>
      </c>
      <c r="G2" s="211" t="s">
        <v>362</v>
      </c>
      <c r="H2" s="253" t="s">
        <v>360</v>
      </c>
      <c r="I2" s="169" t="s">
        <v>4</v>
      </c>
      <c r="J2" s="169" t="s">
        <v>5</v>
      </c>
      <c r="K2" s="169" t="s">
        <v>6</v>
      </c>
      <c r="L2" s="170" t="s">
        <v>7</v>
      </c>
      <c r="M2" s="170" t="s">
        <v>8</v>
      </c>
      <c r="N2" s="22"/>
      <c r="O2" s="22"/>
      <c r="P2" s="22"/>
      <c r="Q2" s="22"/>
      <c r="R2" s="22"/>
      <c r="S2" s="22"/>
    </row>
    <row r="3" spans="1:19" ht="15" customHeight="1" x14ac:dyDescent="0.2">
      <c r="A3" s="196" t="s">
        <v>55</v>
      </c>
      <c r="B3" s="115">
        <v>382759</v>
      </c>
      <c r="C3" s="115" t="s">
        <v>359</v>
      </c>
      <c r="D3" s="171">
        <v>665566</v>
      </c>
      <c r="E3" s="172">
        <v>1525</v>
      </c>
      <c r="F3" s="63">
        <f t="shared" ref="F3:F39" si="0">(H3*4)*0.65</f>
        <v>10465</v>
      </c>
      <c r="G3" s="63">
        <f t="shared" ref="G3:G39" si="1">(H3*2)*0.8</f>
        <v>6440</v>
      </c>
      <c r="H3" s="248">
        <f>E3+2500</f>
        <v>4025</v>
      </c>
    </row>
    <row r="4" spans="1:19" ht="15" customHeight="1" x14ac:dyDescent="0.2">
      <c r="A4" s="233" t="s">
        <v>41</v>
      </c>
      <c r="B4" s="25">
        <v>240561</v>
      </c>
      <c r="C4" s="25" t="s">
        <v>359</v>
      </c>
      <c r="D4" s="77">
        <v>1071353</v>
      </c>
      <c r="E4" s="167">
        <v>1525</v>
      </c>
      <c r="F4" s="19">
        <f t="shared" si="0"/>
        <v>10465</v>
      </c>
      <c r="G4" s="19">
        <f t="shared" si="1"/>
        <v>6440</v>
      </c>
      <c r="H4" s="234">
        <f>E4+2500</f>
        <v>4025</v>
      </c>
    </row>
    <row r="5" spans="1:19" ht="15" customHeight="1" x14ac:dyDescent="0.2">
      <c r="A5" s="196" t="s">
        <v>114</v>
      </c>
      <c r="B5" s="115">
        <v>148852</v>
      </c>
      <c r="C5" s="115" t="s">
        <v>359</v>
      </c>
      <c r="D5" s="171">
        <v>498599</v>
      </c>
      <c r="E5" s="172">
        <v>1525</v>
      </c>
      <c r="F5" s="63">
        <f t="shared" si="0"/>
        <v>10465</v>
      </c>
      <c r="G5" s="63">
        <f t="shared" si="1"/>
        <v>6440</v>
      </c>
      <c r="H5" s="248">
        <f>E5+2500</f>
        <v>4025</v>
      </c>
    </row>
    <row r="6" spans="1:19" ht="15" customHeight="1" x14ac:dyDescent="0.2">
      <c r="A6" s="233" t="s">
        <v>44</v>
      </c>
      <c r="B6" s="25">
        <v>133638</v>
      </c>
      <c r="C6" s="25" t="s">
        <v>359</v>
      </c>
      <c r="D6" s="77">
        <v>538364</v>
      </c>
      <c r="E6" s="167">
        <v>1525</v>
      </c>
      <c r="F6" s="19">
        <f t="shared" si="0"/>
        <v>10465</v>
      </c>
      <c r="G6" s="19">
        <f t="shared" si="1"/>
        <v>6440</v>
      </c>
      <c r="H6" s="234">
        <f>E6+2500</f>
        <v>4025</v>
      </c>
    </row>
    <row r="7" spans="1:19" ht="15" customHeight="1" x14ac:dyDescent="0.2">
      <c r="A7" s="196" t="s">
        <v>51</v>
      </c>
      <c r="B7" s="115">
        <v>98152</v>
      </c>
      <c r="C7" s="115" t="s">
        <v>359</v>
      </c>
      <c r="D7" s="171">
        <v>253388</v>
      </c>
      <c r="E7" s="172">
        <v>1525</v>
      </c>
      <c r="F7" s="63">
        <f t="shared" si="0"/>
        <v>10465</v>
      </c>
      <c r="G7" s="63">
        <f t="shared" si="1"/>
        <v>6440</v>
      </c>
      <c r="H7" s="248">
        <f>E7+2500</f>
        <v>4025</v>
      </c>
    </row>
    <row r="8" spans="1:19" ht="15" customHeight="1" x14ac:dyDescent="0.2">
      <c r="A8" s="233" t="s">
        <v>64</v>
      </c>
      <c r="B8" s="25">
        <v>81417</v>
      </c>
      <c r="C8" s="25" t="s">
        <v>357</v>
      </c>
      <c r="D8" s="77">
        <v>529373</v>
      </c>
      <c r="E8" s="167">
        <v>1500</v>
      </c>
      <c r="F8" s="19">
        <f t="shared" si="0"/>
        <v>9100</v>
      </c>
      <c r="G8" s="19">
        <f t="shared" si="1"/>
        <v>5600</v>
      </c>
      <c r="H8" s="234">
        <f>E8+2000</f>
        <v>3500</v>
      </c>
    </row>
    <row r="9" spans="1:19" ht="15" customHeight="1" x14ac:dyDescent="0.2">
      <c r="A9" s="196" t="s">
        <v>63</v>
      </c>
      <c r="B9" s="115">
        <v>78846</v>
      </c>
      <c r="C9" s="115" t="s">
        <v>359</v>
      </c>
      <c r="D9" s="173">
        <v>791253</v>
      </c>
      <c r="E9" s="172">
        <v>1550</v>
      </c>
      <c r="F9" s="63">
        <f t="shared" si="0"/>
        <v>10530</v>
      </c>
      <c r="G9" s="63">
        <f t="shared" si="1"/>
        <v>6480</v>
      </c>
      <c r="H9" s="248">
        <f t="shared" ref="H9:H14" si="2">E9+2500</f>
        <v>4050</v>
      </c>
    </row>
    <row r="10" spans="1:19" ht="15" customHeight="1" x14ac:dyDescent="0.2">
      <c r="A10" s="233" t="s">
        <v>49</v>
      </c>
      <c r="B10" s="25">
        <v>68763</v>
      </c>
      <c r="C10" s="25" t="s">
        <v>359</v>
      </c>
      <c r="D10" s="77">
        <v>856230</v>
      </c>
      <c r="E10" s="167">
        <v>1500</v>
      </c>
      <c r="F10" s="19">
        <f t="shared" si="0"/>
        <v>10400</v>
      </c>
      <c r="G10" s="19">
        <f t="shared" si="1"/>
        <v>6400</v>
      </c>
      <c r="H10" s="234">
        <f t="shared" si="2"/>
        <v>4000</v>
      </c>
    </row>
    <row r="11" spans="1:19" ht="15" customHeight="1" x14ac:dyDescent="0.2">
      <c r="A11" s="196" t="s">
        <v>39</v>
      </c>
      <c r="B11" s="115">
        <v>65781</v>
      </c>
      <c r="C11" s="115" t="s">
        <v>359</v>
      </c>
      <c r="D11" s="171">
        <v>634744</v>
      </c>
      <c r="E11" s="172">
        <v>1550</v>
      </c>
      <c r="F11" s="63">
        <f t="shared" si="0"/>
        <v>10530</v>
      </c>
      <c r="G11" s="63">
        <f t="shared" si="1"/>
        <v>6480</v>
      </c>
      <c r="H11" s="248">
        <f t="shared" si="2"/>
        <v>4050</v>
      </c>
    </row>
    <row r="12" spans="1:19" ht="15" customHeight="1" x14ac:dyDescent="0.2">
      <c r="A12" s="233" t="s">
        <v>198</v>
      </c>
      <c r="B12" s="25">
        <v>63788</v>
      </c>
      <c r="C12" s="25" t="s">
        <v>359</v>
      </c>
      <c r="D12" s="77">
        <f>148923+453131</f>
        <v>602054</v>
      </c>
      <c r="E12" s="167">
        <v>1525</v>
      </c>
      <c r="F12" s="19">
        <f t="shared" si="0"/>
        <v>10465</v>
      </c>
      <c r="G12" s="19">
        <f t="shared" si="1"/>
        <v>6440</v>
      </c>
      <c r="H12" s="234">
        <f t="shared" si="2"/>
        <v>4025</v>
      </c>
    </row>
    <row r="13" spans="1:19" ht="15" customHeight="1" x14ac:dyDescent="0.2">
      <c r="A13" s="202" t="s">
        <v>78</v>
      </c>
      <c r="B13" s="115">
        <v>61375</v>
      </c>
      <c r="C13" s="115" t="s">
        <v>359</v>
      </c>
      <c r="D13" s="171">
        <v>264865</v>
      </c>
      <c r="E13" s="172">
        <v>1525</v>
      </c>
      <c r="F13" s="63">
        <f t="shared" si="0"/>
        <v>10465</v>
      </c>
      <c r="G13" s="63">
        <f t="shared" si="1"/>
        <v>6440</v>
      </c>
      <c r="H13" s="248">
        <f t="shared" si="2"/>
        <v>4025</v>
      </c>
    </row>
    <row r="14" spans="1:19" ht="15" customHeight="1" x14ac:dyDescent="0.2">
      <c r="A14" s="233" t="s">
        <v>75</v>
      </c>
      <c r="B14" s="25">
        <v>55484</v>
      </c>
      <c r="C14" s="25" t="s">
        <v>359</v>
      </c>
      <c r="D14" s="77">
        <v>259663</v>
      </c>
      <c r="E14" s="167">
        <v>1525</v>
      </c>
      <c r="F14" s="19">
        <f t="shared" si="0"/>
        <v>10465</v>
      </c>
      <c r="G14" s="19">
        <f t="shared" si="1"/>
        <v>6440</v>
      </c>
      <c r="H14" s="234">
        <f t="shared" si="2"/>
        <v>4025</v>
      </c>
    </row>
    <row r="15" spans="1:19" ht="15" customHeight="1" x14ac:dyDescent="0.2">
      <c r="A15" s="196" t="s">
        <v>53</v>
      </c>
      <c r="B15" s="115">
        <v>52846</v>
      </c>
      <c r="C15" s="115" t="s">
        <v>357</v>
      </c>
      <c r="D15" s="171">
        <f>17819+303694</f>
        <v>321513</v>
      </c>
      <c r="E15" s="172">
        <v>1525</v>
      </c>
      <c r="F15" s="63">
        <f t="shared" si="0"/>
        <v>9165</v>
      </c>
      <c r="G15" s="63">
        <f t="shared" si="1"/>
        <v>5640</v>
      </c>
      <c r="H15" s="248">
        <f>E15+2000</f>
        <v>3525</v>
      </c>
    </row>
    <row r="16" spans="1:19" ht="15" customHeight="1" x14ac:dyDescent="0.2">
      <c r="A16" s="233" t="s">
        <v>38</v>
      </c>
      <c r="B16" s="25">
        <v>48635</v>
      </c>
      <c r="C16" s="25" t="s">
        <v>359</v>
      </c>
      <c r="D16" s="77">
        <v>497368</v>
      </c>
      <c r="E16" s="167">
        <v>1525</v>
      </c>
      <c r="F16" s="19">
        <f t="shared" si="0"/>
        <v>10465</v>
      </c>
      <c r="G16" s="19">
        <f t="shared" si="1"/>
        <v>6440</v>
      </c>
      <c r="H16" s="234">
        <f>E16+2500</f>
        <v>4025</v>
      </c>
    </row>
    <row r="17" spans="1:8" ht="15" customHeight="1" x14ac:dyDescent="0.2">
      <c r="A17" s="196" t="s">
        <v>72</v>
      </c>
      <c r="B17" s="115">
        <v>45921</v>
      </c>
      <c r="C17" s="115" t="s">
        <v>357</v>
      </c>
      <c r="D17" s="171">
        <v>148203</v>
      </c>
      <c r="E17" s="172">
        <v>1525</v>
      </c>
      <c r="F17" s="63">
        <f t="shared" si="0"/>
        <v>9165</v>
      </c>
      <c r="G17" s="63">
        <f t="shared" si="1"/>
        <v>5640</v>
      </c>
      <c r="H17" s="248">
        <f>E17+2000</f>
        <v>3525</v>
      </c>
    </row>
    <row r="18" spans="1:8" ht="15" customHeight="1" x14ac:dyDescent="0.2">
      <c r="A18" s="233" t="s">
        <v>56</v>
      </c>
      <c r="B18" s="25">
        <v>35204</v>
      </c>
      <c r="C18" s="25" t="s">
        <v>357</v>
      </c>
      <c r="D18" s="77">
        <v>166560</v>
      </c>
      <c r="E18" s="167">
        <v>1550</v>
      </c>
      <c r="F18" s="19">
        <f t="shared" si="0"/>
        <v>9230</v>
      </c>
      <c r="G18" s="19">
        <f t="shared" si="1"/>
        <v>5680</v>
      </c>
      <c r="H18" s="234">
        <f>E18+2000</f>
        <v>3550</v>
      </c>
    </row>
    <row r="19" spans="1:8" ht="15" customHeight="1" x14ac:dyDescent="0.2">
      <c r="A19" s="196" t="s">
        <v>77</v>
      </c>
      <c r="B19" s="115">
        <v>31660</v>
      </c>
      <c r="C19" s="115" t="s">
        <v>357</v>
      </c>
      <c r="D19" s="171">
        <v>251257</v>
      </c>
      <c r="E19" s="172">
        <v>1525</v>
      </c>
      <c r="F19" s="63">
        <f t="shared" si="0"/>
        <v>9165</v>
      </c>
      <c r="G19" s="63">
        <f t="shared" si="1"/>
        <v>5640</v>
      </c>
      <c r="H19" s="248">
        <f>E19+2000</f>
        <v>3525</v>
      </c>
    </row>
    <row r="20" spans="1:8" ht="15" customHeight="1" x14ac:dyDescent="0.2">
      <c r="A20" s="238" t="s">
        <v>325</v>
      </c>
      <c r="B20" s="25">
        <v>28190</v>
      </c>
      <c r="C20" s="25" t="s">
        <v>359</v>
      </c>
      <c r="D20" s="77">
        <v>637094</v>
      </c>
      <c r="E20" s="167">
        <v>1650</v>
      </c>
      <c r="F20" s="19">
        <f t="shared" si="0"/>
        <v>10790</v>
      </c>
      <c r="G20" s="19">
        <f t="shared" si="1"/>
        <v>6640</v>
      </c>
      <c r="H20" s="234">
        <f>E20+2500</f>
        <v>4150</v>
      </c>
    </row>
    <row r="21" spans="1:8" ht="15" customHeight="1" x14ac:dyDescent="0.2">
      <c r="A21" s="196" t="s">
        <v>62</v>
      </c>
      <c r="B21" s="115">
        <v>20725</v>
      </c>
      <c r="C21" s="115" t="s">
        <v>359</v>
      </c>
      <c r="D21" s="171">
        <v>193169</v>
      </c>
      <c r="E21" s="172">
        <v>1525</v>
      </c>
      <c r="F21" s="63">
        <f t="shared" si="0"/>
        <v>10465</v>
      </c>
      <c r="G21" s="63">
        <f t="shared" si="1"/>
        <v>6440</v>
      </c>
      <c r="H21" s="248">
        <f>E21+2500</f>
        <v>4025</v>
      </c>
    </row>
    <row r="22" spans="1:8" ht="15" customHeight="1" x14ac:dyDescent="0.2">
      <c r="A22" s="233" t="s">
        <v>59</v>
      </c>
      <c r="B22" s="25">
        <v>15971</v>
      </c>
      <c r="C22" s="25" t="s">
        <v>357</v>
      </c>
      <c r="D22" s="77">
        <v>273268</v>
      </c>
      <c r="E22" s="167">
        <v>1525</v>
      </c>
      <c r="F22" s="19">
        <f t="shared" si="0"/>
        <v>9165</v>
      </c>
      <c r="G22" s="19">
        <f t="shared" si="1"/>
        <v>5640</v>
      </c>
      <c r="H22" s="234">
        <f t="shared" ref="H22:H30" si="3">E22+2000</f>
        <v>3525</v>
      </c>
    </row>
    <row r="23" spans="1:8" ht="15" customHeight="1" x14ac:dyDescent="0.2">
      <c r="A23" s="202" t="s">
        <v>91</v>
      </c>
      <c r="B23" s="115">
        <v>15696</v>
      </c>
      <c r="C23" s="115" t="s">
        <v>357</v>
      </c>
      <c r="D23" s="171">
        <v>274442</v>
      </c>
      <c r="E23" s="172">
        <v>1650</v>
      </c>
      <c r="F23" s="63">
        <f t="shared" si="0"/>
        <v>9490</v>
      </c>
      <c r="G23" s="63">
        <f t="shared" si="1"/>
        <v>5840</v>
      </c>
      <c r="H23" s="248">
        <f t="shared" si="3"/>
        <v>3650</v>
      </c>
    </row>
    <row r="24" spans="1:8" ht="15" customHeight="1" x14ac:dyDescent="0.2">
      <c r="A24" s="233" t="s">
        <v>61</v>
      </c>
      <c r="B24" s="25">
        <v>15104</v>
      </c>
      <c r="C24" s="25" t="s">
        <v>357</v>
      </c>
      <c r="D24" s="77">
        <v>236712</v>
      </c>
      <c r="E24" s="167">
        <v>1525</v>
      </c>
      <c r="F24" s="19">
        <f t="shared" si="0"/>
        <v>9165</v>
      </c>
      <c r="G24" s="19">
        <f t="shared" si="1"/>
        <v>5640</v>
      </c>
      <c r="H24" s="234">
        <f t="shared" si="3"/>
        <v>3525</v>
      </c>
    </row>
    <row r="25" spans="1:8" ht="15" customHeight="1" x14ac:dyDescent="0.2">
      <c r="A25" s="202" t="s">
        <v>262</v>
      </c>
      <c r="B25" s="115">
        <v>14618</v>
      </c>
      <c r="C25" s="115" t="s">
        <v>357</v>
      </c>
      <c r="D25" s="171" t="s">
        <v>350</v>
      </c>
      <c r="E25" s="172">
        <v>1650</v>
      </c>
      <c r="F25" s="63">
        <f t="shared" si="0"/>
        <v>9490</v>
      </c>
      <c r="G25" s="63">
        <f t="shared" si="1"/>
        <v>5840</v>
      </c>
      <c r="H25" s="248">
        <f t="shared" si="3"/>
        <v>3650</v>
      </c>
    </row>
    <row r="26" spans="1:8" ht="15" customHeight="1" x14ac:dyDescent="0.2">
      <c r="A26" s="233" t="s">
        <v>60</v>
      </c>
      <c r="B26" s="25">
        <v>14118</v>
      </c>
      <c r="C26" s="25" t="s">
        <v>357</v>
      </c>
      <c r="D26" s="77">
        <v>247575</v>
      </c>
      <c r="E26" s="167">
        <v>1525</v>
      </c>
      <c r="F26" s="19">
        <f t="shared" si="0"/>
        <v>9165</v>
      </c>
      <c r="G26" s="19">
        <f t="shared" si="1"/>
        <v>5640</v>
      </c>
      <c r="H26" s="234">
        <f t="shared" si="3"/>
        <v>3525</v>
      </c>
    </row>
    <row r="27" spans="1:8" ht="15" customHeight="1" x14ac:dyDescent="0.2">
      <c r="A27" s="202" t="s">
        <v>324</v>
      </c>
      <c r="B27" s="115">
        <v>14055</v>
      </c>
      <c r="C27" s="115" t="s">
        <v>357</v>
      </c>
      <c r="D27" s="171" t="s">
        <v>350</v>
      </c>
      <c r="E27" s="172">
        <v>1625</v>
      </c>
      <c r="F27" s="63">
        <f t="shared" si="0"/>
        <v>9425</v>
      </c>
      <c r="G27" s="63">
        <f t="shared" si="1"/>
        <v>5800</v>
      </c>
      <c r="H27" s="248">
        <f t="shared" si="3"/>
        <v>3625</v>
      </c>
    </row>
    <row r="28" spans="1:8" ht="15" customHeight="1" x14ac:dyDescent="0.2">
      <c r="A28" s="233" t="s">
        <v>115</v>
      </c>
      <c r="B28" s="25">
        <v>14051</v>
      </c>
      <c r="C28" s="25" t="s">
        <v>357</v>
      </c>
      <c r="D28" s="77" t="s">
        <v>350</v>
      </c>
      <c r="E28" s="167">
        <v>1525</v>
      </c>
      <c r="F28" s="19">
        <f t="shared" si="0"/>
        <v>9165</v>
      </c>
      <c r="G28" s="19">
        <f t="shared" si="1"/>
        <v>5640</v>
      </c>
      <c r="H28" s="234">
        <f t="shared" si="3"/>
        <v>3525</v>
      </c>
    </row>
    <row r="29" spans="1:8" ht="15" customHeight="1" x14ac:dyDescent="0.2">
      <c r="A29" s="202" t="s">
        <v>96</v>
      </c>
      <c r="B29" s="115">
        <v>12688</v>
      </c>
      <c r="C29" s="115" t="s">
        <v>357</v>
      </c>
      <c r="D29" s="171" t="s">
        <v>350</v>
      </c>
      <c r="E29" s="172">
        <v>1628</v>
      </c>
      <c r="F29" s="63">
        <f t="shared" si="0"/>
        <v>9432.8000000000011</v>
      </c>
      <c r="G29" s="63">
        <f t="shared" si="1"/>
        <v>5804.8</v>
      </c>
      <c r="H29" s="248">
        <f t="shared" si="3"/>
        <v>3628</v>
      </c>
    </row>
    <row r="30" spans="1:8" ht="15" customHeight="1" x14ac:dyDescent="0.2">
      <c r="A30" s="233" t="s">
        <v>58</v>
      </c>
      <c r="B30" s="25">
        <v>10941</v>
      </c>
      <c r="C30" s="25" t="s">
        <v>357</v>
      </c>
      <c r="D30" s="77">
        <v>42222</v>
      </c>
      <c r="E30" s="167">
        <v>1550</v>
      </c>
      <c r="F30" s="19">
        <f t="shared" si="0"/>
        <v>9230</v>
      </c>
      <c r="G30" s="19">
        <f t="shared" si="1"/>
        <v>5680</v>
      </c>
      <c r="H30" s="234">
        <f t="shared" si="3"/>
        <v>3550</v>
      </c>
    </row>
    <row r="31" spans="1:8" ht="15" customHeight="1" x14ac:dyDescent="0.2">
      <c r="A31" s="202" t="s">
        <v>102</v>
      </c>
      <c r="B31" s="115">
        <v>9969</v>
      </c>
      <c r="C31" s="115" t="s">
        <v>356</v>
      </c>
      <c r="D31" s="171" t="s">
        <v>350</v>
      </c>
      <c r="E31" s="172">
        <v>1647</v>
      </c>
      <c r="F31" s="63">
        <f t="shared" si="0"/>
        <v>8182.2000000000007</v>
      </c>
      <c r="G31" s="63">
        <f t="shared" si="1"/>
        <v>5035.2000000000007</v>
      </c>
      <c r="H31" s="248">
        <f>E31+1500</f>
        <v>3147</v>
      </c>
    </row>
    <row r="32" spans="1:8" ht="15" customHeight="1" x14ac:dyDescent="0.2">
      <c r="A32" s="238" t="s">
        <v>92</v>
      </c>
      <c r="B32" s="25">
        <v>9169</v>
      </c>
      <c r="C32" s="25" t="s">
        <v>357</v>
      </c>
      <c r="D32" s="77" t="s">
        <v>350</v>
      </c>
      <c r="E32" s="167">
        <v>1625</v>
      </c>
      <c r="F32" s="19">
        <f t="shared" si="0"/>
        <v>9425</v>
      </c>
      <c r="G32" s="19">
        <f t="shared" si="1"/>
        <v>5800</v>
      </c>
      <c r="H32" s="234">
        <f>E32+2000</f>
        <v>3625</v>
      </c>
    </row>
    <row r="33" spans="1:8" ht="15" customHeight="1" x14ac:dyDescent="0.2">
      <c r="A33" s="196" t="s">
        <v>94</v>
      </c>
      <c r="B33" s="115">
        <v>4872</v>
      </c>
      <c r="C33" s="115" t="s">
        <v>356</v>
      </c>
      <c r="D33" s="171" t="s">
        <v>350</v>
      </c>
      <c r="E33" s="172">
        <v>1628</v>
      </c>
      <c r="F33" s="63">
        <f t="shared" si="0"/>
        <v>8132.8</v>
      </c>
      <c r="G33" s="63">
        <f t="shared" si="1"/>
        <v>5004.8</v>
      </c>
      <c r="H33" s="248">
        <f>E33+1500</f>
        <v>3128</v>
      </c>
    </row>
    <row r="34" spans="1:8" ht="15" customHeight="1" x14ac:dyDescent="0.2">
      <c r="A34" s="238" t="s">
        <v>101</v>
      </c>
      <c r="B34" s="25">
        <v>4723</v>
      </c>
      <c r="C34" s="25" t="s">
        <v>356</v>
      </c>
      <c r="D34" s="77" t="s">
        <v>350</v>
      </c>
      <c r="E34" s="167">
        <v>1628</v>
      </c>
      <c r="F34" s="19">
        <f t="shared" si="0"/>
        <v>8132.8</v>
      </c>
      <c r="G34" s="19">
        <f t="shared" si="1"/>
        <v>5004.8</v>
      </c>
      <c r="H34" s="234">
        <f>E34+1500</f>
        <v>3128</v>
      </c>
    </row>
    <row r="35" spans="1:8" ht="15" customHeight="1" x14ac:dyDescent="0.2">
      <c r="A35" s="202" t="s">
        <v>358</v>
      </c>
      <c r="B35" s="115">
        <v>3973</v>
      </c>
      <c r="C35" s="115" t="s">
        <v>357</v>
      </c>
      <c r="D35" s="171" t="s">
        <v>350</v>
      </c>
      <c r="E35" s="172">
        <v>1628</v>
      </c>
      <c r="F35" s="63">
        <f t="shared" si="0"/>
        <v>9432.8000000000011</v>
      </c>
      <c r="G35" s="63">
        <f t="shared" si="1"/>
        <v>5804.8</v>
      </c>
      <c r="H35" s="248">
        <f>E35+2000</f>
        <v>3628</v>
      </c>
    </row>
    <row r="36" spans="1:8" ht="15" customHeight="1" x14ac:dyDescent="0.2">
      <c r="A36" s="238" t="s">
        <v>90</v>
      </c>
      <c r="B36" s="25">
        <v>3652</v>
      </c>
      <c r="C36" s="25" t="s">
        <v>357</v>
      </c>
      <c r="D36" s="77" t="s">
        <v>350</v>
      </c>
      <c r="E36" s="167">
        <v>1625</v>
      </c>
      <c r="F36" s="19">
        <f t="shared" si="0"/>
        <v>9425</v>
      </c>
      <c r="G36" s="19">
        <f t="shared" si="1"/>
        <v>5800</v>
      </c>
      <c r="H36" s="234">
        <f>E36+2000</f>
        <v>3625</v>
      </c>
    </row>
    <row r="37" spans="1:8" ht="15" customHeight="1" x14ac:dyDescent="0.2">
      <c r="A37" s="202" t="s">
        <v>67</v>
      </c>
      <c r="B37" s="115">
        <v>2393</v>
      </c>
      <c r="C37" s="115" t="s">
        <v>357</v>
      </c>
      <c r="D37" s="171" t="s">
        <v>350</v>
      </c>
      <c r="E37" s="172">
        <v>1500</v>
      </c>
      <c r="F37" s="63">
        <f t="shared" si="0"/>
        <v>9100</v>
      </c>
      <c r="G37" s="63">
        <f t="shared" si="1"/>
        <v>5600</v>
      </c>
      <c r="H37" s="248">
        <f>E37+2000</f>
        <v>3500</v>
      </c>
    </row>
    <row r="38" spans="1:8" ht="15" customHeight="1" x14ac:dyDescent="0.2">
      <c r="A38" s="233" t="s">
        <v>93</v>
      </c>
      <c r="B38" s="25">
        <v>2092</v>
      </c>
      <c r="C38" s="25" t="s">
        <v>356</v>
      </c>
      <c r="D38" s="77" t="s">
        <v>350</v>
      </c>
      <c r="E38" s="167">
        <v>1637</v>
      </c>
      <c r="F38" s="19">
        <f t="shared" si="0"/>
        <v>8156.2000000000007</v>
      </c>
      <c r="G38" s="19">
        <f t="shared" si="1"/>
        <v>5019.2000000000007</v>
      </c>
      <c r="H38" s="234">
        <f>E38+1500</f>
        <v>3137</v>
      </c>
    </row>
    <row r="39" spans="1:8" ht="15" customHeight="1" x14ac:dyDescent="0.2">
      <c r="A39" s="202" t="s">
        <v>100</v>
      </c>
      <c r="B39" s="115">
        <v>1208</v>
      </c>
      <c r="C39" s="115" t="s">
        <v>357</v>
      </c>
      <c r="D39" s="171" t="s">
        <v>350</v>
      </c>
      <c r="E39" s="172">
        <v>1628</v>
      </c>
      <c r="F39" s="63">
        <f t="shared" si="0"/>
        <v>9432.8000000000011</v>
      </c>
      <c r="G39" s="63">
        <f t="shared" si="1"/>
        <v>5804.8</v>
      </c>
      <c r="H39" s="248">
        <f>E39+2000</f>
        <v>3628</v>
      </c>
    </row>
    <row r="40" spans="1:8" ht="15" customHeight="1" x14ac:dyDescent="0.2">
      <c r="A40" s="330" t="s">
        <v>365</v>
      </c>
      <c r="B40" s="331"/>
      <c r="C40" s="331"/>
      <c r="D40" s="331"/>
      <c r="E40" s="168">
        <f>SUM(E3:E39)</f>
        <v>57874</v>
      </c>
      <c r="F40" s="168">
        <f>SUM(F3:F39)</f>
        <v>355872.39999999997</v>
      </c>
      <c r="G40" s="168">
        <f>SUM(G3:G39)</f>
        <v>218998.39999999997</v>
      </c>
      <c r="H40" s="254">
        <f>SUM(H3:H39)</f>
        <v>136874</v>
      </c>
    </row>
    <row r="41" spans="1:8" ht="15" customHeight="1" thickBot="1" x14ac:dyDescent="0.25">
      <c r="A41" s="332" t="s">
        <v>366</v>
      </c>
      <c r="B41" s="333"/>
      <c r="C41" s="333"/>
      <c r="D41" s="333"/>
      <c r="E41" s="255">
        <v>7500</v>
      </c>
      <c r="F41" s="204"/>
      <c r="G41" s="204"/>
      <c r="H41" s="256"/>
    </row>
  </sheetData>
  <autoFilter ref="A2:M261">
    <sortState ref="A2:N260">
      <sortCondition descending="1" ref="B1:B260"/>
    </sortState>
  </autoFilter>
  <mergeCells count="3">
    <mergeCell ref="A40:D40"/>
    <mergeCell ref="A41:D41"/>
    <mergeCell ref="A1:H1"/>
  </mergeCells>
  <pageMargins left="0.7" right="0.7" top="0.75" bottom="0.75" header="0.3" footer="0.3"/>
  <pageSetup paperSize="17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6"/>
  <sheetViews>
    <sheetView tabSelected="1" workbookViewId="0">
      <pane ySplit="765"/>
      <selection sqref="A1:XFD1048576"/>
      <selection pane="bottomLeft" activeCell="A2" sqref="A2"/>
    </sheetView>
  </sheetViews>
  <sheetFormatPr defaultColWidth="9.140625" defaultRowHeight="15" customHeight="1" x14ac:dyDescent="0.2"/>
  <cols>
    <col min="1" max="1" width="48.140625" style="6" customWidth="1"/>
    <col min="2" max="2" width="17.140625" style="5" customWidth="1"/>
    <col min="3" max="3" width="16.7109375" style="5" customWidth="1"/>
    <col min="4" max="4" width="26.140625" style="7" customWidth="1"/>
    <col min="5" max="5" width="19.140625" style="11" customWidth="1"/>
    <col min="6" max="6" width="15" style="5" customWidth="1"/>
    <col min="7" max="7" width="13.42578125" style="5" customWidth="1"/>
    <col min="8" max="8" width="18.42578125" style="5" customWidth="1"/>
    <col min="9" max="9" width="13.42578125" style="5" customWidth="1"/>
    <col min="10" max="10" width="14" style="5" customWidth="1"/>
    <col min="11" max="16384" width="9.140625" style="5"/>
  </cols>
  <sheetData>
    <row r="1" spans="1:10" s="4" customFormat="1" ht="30.75" customHeight="1" x14ac:dyDescent="0.2">
      <c r="A1" s="340" t="s">
        <v>380</v>
      </c>
      <c r="B1" s="341"/>
      <c r="C1" s="341"/>
      <c r="D1" s="341"/>
      <c r="E1" s="341"/>
      <c r="F1" s="341"/>
      <c r="G1" s="341"/>
      <c r="H1" s="341"/>
      <c r="I1" s="341"/>
      <c r="J1" s="342"/>
    </row>
    <row r="2" spans="1:10" s="46" customFormat="1" ht="67.5" customHeight="1" x14ac:dyDescent="0.2">
      <c r="A2" s="47" t="s">
        <v>291</v>
      </c>
      <c r="B2" s="44" t="s">
        <v>8</v>
      </c>
      <c r="C2" s="44" t="s">
        <v>292</v>
      </c>
      <c r="D2" s="45" t="s">
        <v>293</v>
      </c>
      <c r="E2" s="20" t="s">
        <v>294</v>
      </c>
      <c r="F2" s="20" t="s">
        <v>333</v>
      </c>
      <c r="G2" s="20" t="s">
        <v>337</v>
      </c>
      <c r="H2" s="20" t="s">
        <v>338</v>
      </c>
      <c r="I2" s="20" t="s">
        <v>339</v>
      </c>
      <c r="J2" s="48" t="s">
        <v>340</v>
      </c>
    </row>
    <row r="3" spans="1:10" ht="81.75" customHeight="1" x14ac:dyDescent="0.2">
      <c r="A3" s="49" t="s">
        <v>295</v>
      </c>
      <c r="B3" s="12" t="s">
        <v>296</v>
      </c>
      <c r="C3" s="12" t="s">
        <v>297</v>
      </c>
      <c r="D3" s="39" t="s">
        <v>306</v>
      </c>
      <c r="E3" s="41" t="s">
        <v>298</v>
      </c>
      <c r="F3" s="42">
        <f>(4268*4)+5294</f>
        <v>22366</v>
      </c>
      <c r="G3" s="43">
        <f>(F3*3)+5294</f>
        <v>72392</v>
      </c>
      <c r="H3" s="43">
        <f>(F3*6)+5294</f>
        <v>139490</v>
      </c>
      <c r="I3" s="43">
        <f>(F3*9)+5294</f>
        <v>206588</v>
      </c>
      <c r="J3" s="50">
        <f>(F3*12)+5294</f>
        <v>273686</v>
      </c>
    </row>
    <row r="4" spans="1:10" s="16" customFormat="1" ht="14.25" customHeight="1" x14ac:dyDescent="0.2">
      <c r="A4" s="337"/>
      <c r="B4" s="338"/>
      <c r="C4" s="338"/>
      <c r="D4" s="338"/>
      <c r="E4" s="339"/>
      <c r="F4" s="335" t="s">
        <v>332</v>
      </c>
      <c r="G4" s="335"/>
      <c r="H4" s="335"/>
      <c r="I4" s="335"/>
      <c r="J4" s="336"/>
    </row>
    <row r="5" spans="1:10" ht="42.75" customHeight="1" x14ac:dyDescent="0.2">
      <c r="A5" s="174" t="s">
        <v>343</v>
      </c>
      <c r="B5" s="175" t="s">
        <v>296</v>
      </c>
      <c r="C5" s="175" t="s">
        <v>299</v>
      </c>
      <c r="D5" s="176" t="s">
        <v>307</v>
      </c>
      <c r="E5" s="177" t="s">
        <v>300</v>
      </c>
      <c r="F5" s="60">
        <f>((25*40)*4)+500</f>
        <v>4500</v>
      </c>
      <c r="G5" s="60">
        <f>((25*40)*12)+500</f>
        <v>12500</v>
      </c>
      <c r="H5" s="60">
        <f>((25*40)*24)+500</f>
        <v>24500</v>
      </c>
      <c r="I5" s="60">
        <f>((25*40)*36)+500</f>
        <v>36500</v>
      </c>
      <c r="J5" s="178">
        <f>((25*40)*52)+500</f>
        <v>52500</v>
      </c>
    </row>
    <row r="6" spans="1:10" ht="41.25" customHeight="1" x14ac:dyDescent="0.2">
      <c r="A6" s="51" t="s">
        <v>342</v>
      </c>
      <c r="B6" s="13" t="s">
        <v>301</v>
      </c>
      <c r="C6" s="13" t="s">
        <v>302</v>
      </c>
      <c r="D6" s="40" t="s">
        <v>303</v>
      </c>
      <c r="E6" s="41" t="s">
        <v>304</v>
      </c>
      <c r="F6" s="42">
        <v>1958</v>
      </c>
      <c r="G6" s="42">
        <f>F6*3</f>
        <v>5874</v>
      </c>
      <c r="H6" s="42">
        <f>F6*6</f>
        <v>11748</v>
      </c>
      <c r="I6" s="42">
        <f>F6*9</f>
        <v>17622</v>
      </c>
      <c r="J6" s="52">
        <f>F6*12</f>
        <v>23496</v>
      </c>
    </row>
    <row r="7" spans="1:10" ht="45" customHeight="1" thickBot="1" x14ac:dyDescent="0.25">
      <c r="A7" s="179" t="s">
        <v>341</v>
      </c>
      <c r="B7" s="180" t="s">
        <v>301</v>
      </c>
      <c r="C7" s="180" t="s">
        <v>302</v>
      </c>
      <c r="D7" s="181" t="s">
        <v>305</v>
      </c>
      <c r="E7" s="182" t="s">
        <v>304</v>
      </c>
      <c r="F7" s="183">
        <v>8740</v>
      </c>
      <c r="G7" s="183">
        <f>F7*3</f>
        <v>26220</v>
      </c>
      <c r="H7" s="183">
        <f>G7*2</f>
        <v>52440</v>
      </c>
      <c r="I7" s="183">
        <f>G7*3</f>
        <v>78660</v>
      </c>
      <c r="J7" s="184">
        <f>G7*4</f>
        <v>104880</v>
      </c>
    </row>
    <row r="8" spans="1:10" ht="15" customHeight="1" x14ac:dyDescent="0.2">
      <c r="E8" s="8"/>
      <c r="F8" s="8"/>
    </row>
    <row r="9" spans="1:10" ht="15" customHeight="1" x14ac:dyDescent="0.2">
      <c r="E9" s="8"/>
      <c r="F9" s="8"/>
    </row>
    <row r="10" spans="1:10" ht="15" customHeight="1" x14ac:dyDescent="0.2">
      <c r="E10" s="8"/>
      <c r="F10" s="8"/>
    </row>
    <row r="11" spans="1:10" ht="15" customHeight="1" x14ac:dyDescent="0.2">
      <c r="E11" s="8"/>
      <c r="F11" s="8"/>
    </row>
    <row r="12" spans="1:10" ht="15" customHeight="1" x14ac:dyDescent="0.2">
      <c r="E12" s="8"/>
      <c r="F12" s="8"/>
    </row>
    <row r="13" spans="1:10" ht="15" customHeight="1" x14ac:dyDescent="0.2">
      <c r="E13" s="8"/>
      <c r="F13" s="8"/>
    </row>
    <row r="14" spans="1:10" ht="15" customHeight="1" x14ac:dyDescent="0.2">
      <c r="A14" s="1"/>
      <c r="E14" s="8"/>
      <c r="F14" s="8"/>
    </row>
    <row r="15" spans="1:10" ht="15" customHeight="1" x14ac:dyDescent="0.2">
      <c r="A15" s="1" t="s">
        <v>336</v>
      </c>
      <c r="E15" s="8"/>
      <c r="F15" s="8"/>
    </row>
    <row r="16" spans="1:10" ht="15" customHeight="1" x14ac:dyDescent="0.2">
      <c r="E16" s="8"/>
      <c r="F16" s="8"/>
    </row>
    <row r="17" spans="1:6" ht="15" customHeight="1" x14ac:dyDescent="0.2">
      <c r="E17" s="8"/>
      <c r="F17" s="8"/>
    </row>
    <row r="18" spans="1:6" ht="15" customHeight="1" x14ac:dyDescent="0.2">
      <c r="E18" s="8"/>
      <c r="F18" s="8"/>
    </row>
    <row r="19" spans="1:6" ht="15" customHeight="1" x14ac:dyDescent="0.2">
      <c r="A19" s="1"/>
      <c r="E19" s="8"/>
      <c r="F19" s="8"/>
    </row>
    <row r="20" spans="1:6" ht="15" customHeight="1" x14ac:dyDescent="0.2">
      <c r="E20" s="8"/>
      <c r="F20" s="8"/>
    </row>
    <row r="21" spans="1:6" ht="15" customHeight="1" x14ac:dyDescent="0.2">
      <c r="E21" s="8"/>
      <c r="F21" s="8"/>
    </row>
    <row r="22" spans="1:6" ht="15" customHeight="1" x14ac:dyDescent="0.2">
      <c r="A22" s="1"/>
      <c r="E22" s="8"/>
      <c r="F22" s="8"/>
    </row>
    <row r="23" spans="1:6" ht="15" customHeight="1" x14ac:dyDescent="0.2">
      <c r="E23" s="8"/>
      <c r="F23" s="8"/>
    </row>
    <row r="24" spans="1:6" ht="15" customHeight="1" x14ac:dyDescent="0.2">
      <c r="E24" s="8"/>
      <c r="F24" s="8"/>
    </row>
    <row r="25" spans="1:6" ht="15" customHeight="1" x14ac:dyDescent="0.2">
      <c r="E25" s="8"/>
      <c r="F25" s="8"/>
    </row>
    <row r="26" spans="1:6" ht="15" customHeight="1" x14ac:dyDescent="0.2">
      <c r="E26" s="8"/>
      <c r="F26" s="8"/>
    </row>
    <row r="27" spans="1:6" ht="15" customHeight="1" x14ac:dyDescent="0.2">
      <c r="A27" s="2"/>
      <c r="E27" s="8"/>
      <c r="F27" s="8"/>
    </row>
    <row r="28" spans="1:6" ht="15" customHeight="1" x14ac:dyDescent="0.2">
      <c r="A28" s="2"/>
      <c r="E28" s="8"/>
      <c r="F28" s="8"/>
    </row>
    <row r="29" spans="1:6" ht="15" customHeight="1" x14ac:dyDescent="0.2">
      <c r="A29" s="2"/>
      <c r="E29" s="8"/>
      <c r="F29" s="8"/>
    </row>
    <row r="30" spans="1:6" ht="15" customHeight="1" x14ac:dyDescent="0.2">
      <c r="A30" s="9"/>
      <c r="E30" s="8"/>
      <c r="F30" s="8"/>
    </row>
    <row r="31" spans="1:6" ht="15" customHeight="1" x14ac:dyDescent="0.2">
      <c r="A31" s="2"/>
      <c r="E31" s="8"/>
      <c r="F31" s="8"/>
    </row>
    <row r="32" spans="1:6" ht="15" customHeight="1" x14ac:dyDescent="0.2">
      <c r="A32" s="2"/>
      <c r="E32" s="8"/>
      <c r="F32" s="8"/>
    </row>
    <row r="33" spans="1:6" ht="15" customHeight="1" x14ac:dyDescent="0.2">
      <c r="A33" s="9"/>
      <c r="E33" s="8"/>
      <c r="F33" s="8"/>
    </row>
    <row r="34" spans="1:6" ht="15" customHeight="1" x14ac:dyDescent="0.2">
      <c r="A34" s="1"/>
      <c r="E34" s="8"/>
      <c r="F34" s="8"/>
    </row>
    <row r="35" spans="1:6" ht="15" customHeight="1" x14ac:dyDescent="0.2">
      <c r="A35" s="1"/>
      <c r="E35" s="8"/>
      <c r="F35" s="8"/>
    </row>
    <row r="36" spans="1:6" ht="15" customHeight="1" x14ac:dyDescent="0.2">
      <c r="A36" s="3"/>
      <c r="E36" s="8"/>
      <c r="F36" s="8"/>
    </row>
    <row r="37" spans="1:6" ht="15" customHeight="1" x14ac:dyDescent="0.2">
      <c r="E37" s="8"/>
      <c r="F37" s="8"/>
    </row>
    <row r="38" spans="1:6" ht="15" customHeight="1" x14ac:dyDescent="0.2">
      <c r="A38" s="9"/>
      <c r="E38" s="8"/>
      <c r="F38" s="8"/>
    </row>
    <row r="39" spans="1:6" ht="15" customHeight="1" x14ac:dyDescent="0.2">
      <c r="A39" s="2"/>
      <c r="E39" s="8"/>
      <c r="F39" s="8"/>
    </row>
    <row r="40" spans="1:6" ht="15" customHeight="1" x14ac:dyDescent="0.2">
      <c r="A40" s="2"/>
      <c r="E40" s="8"/>
      <c r="F40" s="8"/>
    </row>
    <row r="41" spans="1:6" ht="15" customHeight="1" x14ac:dyDescent="0.2">
      <c r="E41" s="8"/>
      <c r="F41" s="8"/>
    </row>
    <row r="42" spans="1:6" ht="15" customHeight="1" x14ac:dyDescent="0.2">
      <c r="E42" s="8"/>
      <c r="F42" s="8"/>
    </row>
    <row r="43" spans="1:6" ht="15" customHeight="1" x14ac:dyDescent="0.2">
      <c r="E43" s="8"/>
      <c r="F43" s="8"/>
    </row>
    <row r="44" spans="1:6" ht="15" customHeight="1" x14ac:dyDescent="0.2">
      <c r="E44" s="8"/>
      <c r="F44" s="8"/>
    </row>
    <row r="45" spans="1:6" ht="15" customHeight="1" x14ac:dyDescent="0.2">
      <c r="E45" s="8"/>
      <c r="F45" s="8"/>
    </row>
    <row r="46" spans="1:6" ht="15" customHeight="1" x14ac:dyDescent="0.2">
      <c r="A46" s="1"/>
      <c r="E46" s="8"/>
      <c r="F46" s="8"/>
    </row>
    <row r="47" spans="1:6" ht="15" customHeight="1" x14ac:dyDescent="0.2">
      <c r="E47" s="8"/>
      <c r="F47" s="8"/>
    </row>
    <row r="48" spans="1:6" ht="15" customHeight="1" x14ac:dyDescent="0.2">
      <c r="E48" s="8"/>
      <c r="F48" s="8"/>
    </row>
    <row r="49" spans="1:6" ht="15" customHeight="1" x14ac:dyDescent="0.2">
      <c r="E49" s="8"/>
      <c r="F49" s="8"/>
    </row>
    <row r="50" spans="1:6" ht="15" customHeight="1" x14ac:dyDescent="0.2">
      <c r="E50" s="8"/>
      <c r="F50" s="8"/>
    </row>
    <row r="51" spans="1:6" ht="15" customHeight="1" x14ac:dyDescent="0.2">
      <c r="E51" s="8"/>
      <c r="F51" s="8"/>
    </row>
    <row r="52" spans="1:6" ht="15" customHeight="1" x14ac:dyDescent="0.2">
      <c r="E52" s="8"/>
      <c r="F52" s="8"/>
    </row>
    <row r="53" spans="1:6" ht="15" customHeight="1" x14ac:dyDescent="0.2">
      <c r="E53" s="8"/>
      <c r="F53" s="8"/>
    </row>
    <row r="54" spans="1:6" ht="15" customHeight="1" x14ac:dyDescent="0.2">
      <c r="E54" s="8"/>
      <c r="F54" s="8"/>
    </row>
    <row r="55" spans="1:6" ht="15" customHeight="1" x14ac:dyDescent="0.2">
      <c r="E55" s="8"/>
      <c r="F55" s="8"/>
    </row>
    <row r="56" spans="1:6" ht="15" customHeight="1" x14ac:dyDescent="0.2">
      <c r="E56" s="8"/>
      <c r="F56" s="8"/>
    </row>
    <row r="57" spans="1:6" ht="15" customHeight="1" x14ac:dyDescent="0.2">
      <c r="E57" s="8"/>
      <c r="F57" s="8"/>
    </row>
    <row r="58" spans="1:6" ht="15" customHeight="1" x14ac:dyDescent="0.2">
      <c r="E58" s="8"/>
      <c r="F58" s="8"/>
    </row>
    <row r="59" spans="1:6" ht="15" customHeight="1" x14ac:dyDescent="0.2">
      <c r="A59" s="1"/>
      <c r="E59" s="8"/>
      <c r="F59" s="8"/>
    </row>
    <row r="60" spans="1:6" ht="15" customHeight="1" x14ac:dyDescent="0.2">
      <c r="A60" s="1"/>
      <c r="E60" s="8"/>
      <c r="F60" s="8"/>
    </row>
    <row r="61" spans="1:6" ht="15" customHeight="1" x14ac:dyDescent="0.2">
      <c r="E61" s="8"/>
      <c r="F61" s="8"/>
    </row>
    <row r="62" spans="1:6" ht="15" customHeight="1" x14ac:dyDescent="0.2">
      <c r="E62" s="8"/>
      <c r="F62" s="8"/>
    </row>
    <row r="63" spans="1:6" ht="15" customHeight="1" x14ac:dyDescent="0.2">
      <c r="E63" s="8"/>
      <c r="F63" s="8"/>
    </row>
    <row r="64" spans="1:6" ht="15" customHeight="1" x14ac:dyDescent="0.2">
      <c r="A64" s="1"/>
      <c r="E64" s="8"/>
      <c r="F64" s="8"/>
    </row>
    <row r="65" spans="1:6" ht="15" customHeight="1" x14ac:dyDescent="0.2">
      <c r="E65" s="8"/>
      <c r="F65" s="8"/>
    </row>
    <row r="66" spans="1:6" ht="15" customHeight="1" x14ac:dyDescent="0.2">
      <c r="E66" s="8"/>
      <c r="F66" s="8"/>
    </row>
    <row r="67" spans="1:6" ht="15" customHeight="1" x14ac:dyDescent="0.2">
      <c r="A67" s="1"/>
      <c r="E67" s="8"/>
      <c r="F67" s="8"/>
    </row>
    <row r="68" spans="1:6" ht="15" customHeight="1" x14ac:dyDescent="0.2">
      <c r="E68" s="8"/>
      <c r="F68" s="8"/>
    </row>
    <row r="69" spans="1:6" ht="15" customHeight="1" x14ac:dyDescent="0.2">
      <c r="A69" s="1"/>
      <c r="E69" s="8"/>
      <c r="F69" s="8"/>
    </row>
    <row r="70" spans="1:6" ht="15" customHeight="1" x14ac:dyDescent="0.2">
      <c r="A70" s="1"/>
      <c r="E70" s="8"/>
      <c r="F70" s="8"/>
    </row>
    <row r="71" spans="1:6" ht="15" customHeight="1" x14ac:dyDescent="0.2">
      <c r="A71" s="1"/>
      <c r="E71" s="8"/>
      <c r="F71" s="8"/>
    </row>
    <row r="72" spans="1:6" ht="15" customHeight="1" x14ac:dyDescent="0.2">
      <c r="A72" s="2"/>
      <c r="E72" s="8"/>
      <c r="F72" s="8"/>
    </row>
    <row r="73" spans="1:6" ht="15" customHeight="1" x14ac:dyDescent="0.2">
      <c r="A73" s="9"/>
      <c r="E73" s="8"/>
      <c r="F73" s="8"/>
    </row>
    <row r="74" spans="1:6" ht="15" customHeight="1" x14ac:dyDescent="0.2">
      <c r="E74" s="8"/>
      <c r="F74" s="8"/>
    </row>
    <row r="75" spans="1:6" ht="15" customHeight="1" x14ac:dyDescent="0.2">
      <c r="E75" s="8"/>
      <c r="F75" s="8"/>
    </row>
    <row r="76" spans="1:6" ht="15" customHeight="1" x14ac:dyDescent="0.2">
      <c r="E76" s="8"/>
      <c r="F76" s="8"/>
    </row>
    <row r="77" spans="1:6" ht="15" customHeight="1" x14ac:dyDescent="0.2">
      <c r="E77" s="8"/>
      <c r="F77" s="8"/>
    </row>
    <row r="78" spans="1:6" ht="15" customHeight="1" x14ac:dyDescent="0.2">
      <c r="A78" s="10"/>
      <c r="E78" s="8"/>
      <c r="F78" s="8"/>
    </row>
    <row r="79" spans="1:6" ht="15" customHeight="1" x14ac:dyDescent="0.2">
      <c r="A79" s="1"/>
      <c r="E79" s="8"/>
      <c r="F79" s="8"/>
    </row>
    <row r="80" spans="1:6" ht="15" customHeight="1" x14ac:dyDescent="0.2">
      <c r="A80" s="1"/>
      <c r="E80" s="8"/>
      <c r="F80" s="8"/>
    </row>
    <row r="81" spans="1:6" ht="15" customHeight="1" x14ac:dyDescent="0.2">
      <c r="E81" s="8"/>
      <c r="F81" s="8"/>
    </row>
    <row r="82" spans="1:6" ht="15" customHeight="1" x14ac:dyDescent="0.2">
      <c r="E82" s="8"/>
      <c r="F82" s="8"/>
    </row>
    <row r="83" spans="1:6" ht="15" customHeight="1" x14ac:dyDescent="0.2">
      <c r="E83" s="8"/>
      <c r="F83" s="8"/>
    </row>
    <row r="84" spans="1:6" ht="15" customHeight="1" x14ac:dyDescent="0.2">
      <c r="E84" s="8"/>
      <c r="F84" s="8"/>
    </row>
    <row r="85" spans="1:6" ht="15" customHeight="1" x14ac:dyDescent="0.2">
      <c r="E85" s="8"/>
      <c r="F85" s="8"/>
    </row>
    <row r="86" spans="1:6" ht="15" customHeight="1" x14ac:dyDescent="0.2">
      <c r="A86" s="1"/>
      <c r="E86" s="8"/>
      <c r="F86" s="8"/>
    </row>
    <row r="87" spans="1:6" ht="15" customHeight="1" x14ac:dyDescent="0.2">
      <c r="E87" s="8"/>
      <c r="F87" s="8"/>
    </row>
    <row r="88" spans="1:6" ht="15" customHeight="1" x14ac:dyDescent="0.2">
      <c r="A88" s="1"/>
      <c r="E88" s="8"/>
      <c r="F88" s="8"/>
    </row>
    <row r="89" spans="1:6" ht="15" customHeight="1" x14ac:dyDescent="0.2">
      <c r="E89" s="8"/>
      <c r="F89" s="8"/>
    </row>
    <row r="90" spans="1:6" ht="15" customHeight="1" x14ac:dyDescent="0.2">
      <c r="E90" s="8"/>
      <c r="F90" s="8"/>
    </row>
    <row r="91" spans="1:6" ht="15" customHeight="1" x14ac:dyDescent="0.2">
      <c r="E91" s="8"/>
      <c r="F91" s="8"/>
    </row>
    <row r="92" spans="1:6" ht="15" customHeight="1" x14ac:dyDescent="0.2">
      <c r="E92" s="8"/>
      <c r="F92" s="8"/>
    </row>
    <row r="93" spans="1:6" ht="15" customHeight="1" x14ac:dyDescent="0.2">
      <c r="E93" s="8"/>
      <c r="F93" s="8"/>
    </row>
    <row r="94" spans="1:6" ht="15" customHeight="1" x14ac:dyDescent="0.2">
      <c r="E94" s="8"/>
      <c r="F94" s="8"/>
    </row>
    <row r="95" spans="1:6" ht="15" customHeight="1" x14ac:dyDescent="0.2">
      <c r="E95" s="8"/>
      <c r="F95" s="8"/>
    </row>
    <row r="96" spans="1:6" ht="15" customHeight="1" x14ac:dyDescent="0.2">
      <c r="E96" s="8"/>
      <c r="F96" s="8"/>
    </row>
    <row r="97" spans="1:6" ht="15" customHeight="1" x14ac:dyDescent="0.2">
      <c r="E97" s="8"/>
      <c r="F97" s="8"/>
    </row>
    <row r="98" spans="1:6" ht="15" customHeight="1" x14ac:dyDescent="0.2">
      <c r="A98" s="5"/>
      <c r="D98" s="5"/>
      <c r="E98" s="8"/>
      <c r="F98" s="8"/>
    </row>
    <row r="99" spans="1:6" ht="15" customHeight="1" x14ac:dyDescent="0.2">
      <c r="A99" s="5"/>
      <c r="D99" s="5"/>
      <c r="E99" s="8"/>
      <c r="F99" s="8"/>
    </row>
    <row r="100" spans="1:6" ht="15" customHeight="1" x14ac:dyDescent="0.2">
      <c r="A100" s="5"/>
      <c r="D100" s="5"/>
      <c r="E100" s="8"/>
      <c r="F100" s="8"/>
    </row>
    <row r="101" spans="1:6" ht="15" customHeight="1" x14ac:dyDescent="0.2">
      <c r="A101" s="5"/>
      <c r="D101" s="5"/>
      <c r="E101" s="8"/>
      <c r="F101" s="8"/>
    </row>
    <row r="102" spans="1:6" ht="15" customHeight="1" x14ac:dyDescent="0.2">
      <c r="A102" s="5"/>
      <c r="D102" s="5"/>
      <c r="E102" s="8"/>
      <c r="F102" s="8"/>
    </row>
    <row r="103" spans="1:6" ht="15" customHeight="1" x14ac:dyDescent="0.2">
      <c r="A103" s="5"/>
      <c r="D103" s="5"/>
      <c r="E103" s="8"/>
      <c r="F103" s="8"/>
    </row>
    <row r="104" spans="1:6" ht="15" customHeight="1" x14ac:dyDescent="0.2">
      <c r="A104" s="5"/>
      <c r="D104" s="5"/>
      <c r="E104" s="8"/>
      <c r="F104" s="8"/>
    </row>
    <row r="105" spans="1:6" ht="15" customHeight="1" x14ac:dyDescent="0.2">
      <c r="A105" s="5"/>
      <c r="D105" s="5"/>
      <c r="E105" s="8"/>
      <c r="F105" s="8"/>
    </row>
    <row r="106" spans="1:6" ht="15" customHeight="1" x14ac:dyDescent="0.2">
      <c r="A106" s="5"/>
      <c r="D106" s="5"/>
      <c r="E106" s="8"/>
      <c r="F106" s="8"/>
    </row>
    <row r="107" spans="1:6" ht="15" customHeight="1" x14ac:dyDescent="0.2">
      <c r="A107" s="5"/>
      <c r="D107" s="5"/>
      <c r="E107" s="8"/>
      <c r="F107" s="8"/>
    </row>
    <row r="108" spans="1:6" ht="15" customHeight="1" x14ac:dyDescent="0.2">
      <c r="A108" s="5"/>
      <c r="D108" s="5"/>
      <c r="E108" s="8"/>
      <c r="F108" s="8"/>
    </row>
    <row r="109" spans="1:6" ht="15" customHeight="1" x14ac:dyDescent="0.2">
      <c r="A109" s="5"/>
      <c r="D109" s="5"/>
      <c r="E109" s="8"/>
      <c r="F109" s="8"/>
    </row>
    <row r="110" spans="1:6" ht="15" customHeight="1" x14ac:dyDescent="0.2">
      <c r="A110" s="5"/>
      <c r="D110" s="5"/>
      <c r="E110" s="8"/>
      <c r="F110" s="8"/>
    </row>
    <row r="111" spans="1:6" ht="15" customHeight="1" x14ac:dyDescent="0.2">
      <c r="A111" s="5"/>
      <c r="D111" s="5"/>
      <c r="E111" s="8"/>
      <c r="F111" s="8"/>
    </row>
    <row r="112" spans="1:6" ht="15" customHeight="1" x14ac:dyDescent="0.2">
      <c r="A112" s="5"/>
      <c r="D112" s="5"/>
      <c r="E112" s="8"/>
      <c r="F112" s="8"/>
    </row>
    <row r="113" spans="1:6" ht="15" customHeight="1" x14ac:dyDescent="0.2">
      <c r="A113" s="5"/>
      <c r="D113" s="5"/>
      <c r="E113" s="8"/>
      <c r="F113" s="8"/>
    </row>
    <row r="114" spans="1:6" ht="15" customHeight="1" x14ac:dyDescent="0.2">
      <c r="A114" s="5"/>
      <c r="D114" s="5"/>
      <c r="E114" s="8"/>
      <c r="F114" s="8"/>
    </row>
    <row r="115" spans="1:6" ht="15" customHeight="1" x14ac:dyDescent="0.2">
      <c r="A115" s="5"/>
      <c r="D115" s="5"/>
      <c r="E115" s="8"/>
      <c r="F115" s="8"/>
    </row>
    <row r="116" spans="1:6" ht="15" customHeight="1" x14ac:dyDescent="0.2">
      <c r="A116" s="5"/>
      <c r="D116" s="5"/>
      <c r="E116" s="8"/>
      <c r="F116" s="8"/>
    </row>
    <row r="117" spans="1:6" ht="15" customHeight="1" x14ac:dyDescent="0.2">
      <c r="A117" s="5"/>
      <c r="D117" s="5"/>
      <c r="E117" s="8"/>
      <c r="F117" s="8"/>
    </row>
    <row r="118" spans="1:6" ht="15" customHeight="1" x14ac:dyDescent="0.2">
      <c r="A118" s="5"/>
      <c r="D118" s="5"/>
      <c r="E118" s="8"/>
      <c r="F118" s="8"/>
    </row>
    <row r="119" spans="1:6" ht="15" customHeight="1" x14ac:dyDescent="0.2">
      <c r="A119" s="5"/>
      <c r="D119" s="5"/>
      <c r="E119" s="8"/>
      <c r="F119" s="8"/>
    </row>
    <row r="120" spans="1:6" ht="15" customHeight="1" x14ac:dyDescent="0.2">
      <c r="A120" s="5"/>
      <c r="D120" s="5"/>
      <c r="E120" s="8"/>
      <c r="F120" s="8"/>
    </row>
    <row r="121" spans="1:6" ht="15" customHeight="1" x14ac:dyDescent="0.2">
      <c r="A121" s="5"/>
      <c r="D121" s="5"/>
      <c r="E121" s="8"/>
      <c r="F121" s="8"/>
    </row>
    <row r="122" spans="1:6" ht="15" customHeight="1" x14ac:dyDescent="0.2">
      <c r="A122" s="5"/>
      <c r="D122" s="5"/>
      <c r="E122" s="8"/>
      <c r="F122" s="8"/>
    </row>
    <row r="123" spans="1:6" ht="15" customHeight="1" x14ac:dyDescent="0.2">
      <c r="A123" s="5"/>
      <c r="D123" s="5"/>
      <c r="E123" s="8"/>
      <c r="F123" s="8"/>
    </row>
    <row r="124" spans="1:6" ht="15" customHeight="1" x14ac:dyDescent="0.2">
      <c r="A124" s="5"/>
      <c r="D124" s="5"/>
      <c r="E124" s="8"/>
      <c r="F124" s="8"/>
    </row>
    <row r="125" spans="1:6" ht="15" customHeight="1" x14ac:dyDescent="0.2">
      <c r="A125" s="5"/>
      <c r="D125" s="5"/>
      <c r="E125" s="8"/>
      <c r="F125" s="8"/>
    </row>
    <row r="126" spans="1:6" ht="15" customHeight="1" x14ac:dyDescent="0.2">
      <c r="A126" s="5"/>
      <c r="D126" s="5"/>
      <c r="E126" s="8"/>
      <c r="F126" s="8"/>
    </row>
    <row r="127" spans="1:6" ht="15" customHeight="1" x14ac:dyDescent="0.2">
      <c r="A127" s="5"/>
      <c r="D127" s="5"/>
      <c r="E127" s="8"/>
      <c r="F127" s="8"/>
    </row>
    <row r="128" spans="1:6" ht="15" customHeight="1" x14ac:dyDescent="0.2">
      <c r="A128" s="5"/>
      <c r="D128" s="5"/>
      <c r="E128" s="8"/>
      <c r="F128" s="8"/>
    </row>
    <row r="129" spans="1:6" ht="15" customHeight="1" x14ac:dyDescent="0.2">
      <c r="A129" s="5"/>
      <c r="D129" s="5"/>
      <c r="E129" s="8"/>
      <c r="F129" s="8"/>
    </row>
    <row r="130" spans="1:6" ht="15" customHeight="1" x14ac:dyDescent="0.2">
      <c r="A130" s="5"/>
      <c r="D130" s="5"/>
      <c r="E130" s="8"/>
      <c r="F130" s="8"/>
    </row>
    <row r="131" spans="1:6" ht="15" customHeight="1" x14ac:dyDescent="0.2">
      <c r="A131" s="5"/>
      <c r="D131" s="5"/>
      <c r="E131" s="8"/>
      <c r="F131" s="8"/>
    </row>
    <row r="132" spans="1:6" ht="15" customHeight="1" x14ac:dyDescent="0.2">
      <c r="A132" s="5"/>
      <c r="D132" s="5"/>
      <c r="E132" s="8"/>
      <c r="F132" s="8"/>
    </row>
    <row r="133" spans="1:6" ht="15" customHeight="1" x14ac:dyDescent="0.2">
      <c r="A133" s="5"/>
      <c r="D133" s="5"/>
      <c r="E133" s="8"/>
      <c r="F133" s="8"/>
    </row>
    <row r="134" spans="1:6" ht="15" customHeight="1" x14ac:dyDescent="0.2">
      <c r="A134" s="5"/>
      <c r="D134" s="5"/>
      <c r="E134" s="8"/>
      <c r="F134" s="8"/>
    </row>
    <row r="135" spans="1:6" ht="15" customHeight="1" x14ac:dyDescent="0.2">
      <c r="A135" s="5"/>
      <c r="D135" s="5"/>
      <c r="E135" s="8"/>
      <c r="F135" s="8"/>
    </row>
    <row r="136" spans="1:6" ht="15" customHeight="1" x14ac:dyDescent="0.2">
      <c r="A136" s="5"/>
      <c r="D136" s="5"/>
      <c r="E136" s="8"/>
      <c r="F136" s="8"/>
    </row>
    <row r="137" spans="1:6" ht="15" customHeight="1" x14ac:dyDescent="0.2">
      <c r="A137" s="5"/>
      <c r="D137" s="5"/>
      <c r="E137" s="8"/>
      <c r="F137" s="8"/>
    </row>
    <row r="138" spans="1:6" ht="15" customHeight="1" x14ac:dyDescent="0.2">
      <c r="A138" s="5"/>
      <c r="D138" s="5"/>
      <c r="E138" s="8"/>
      <c r="F138" s="8"/>
    </row>
    <row r="139" spans="1:6" ht="15" customHeight="1" x14ac:dyDescent="0.2">
      <c r="A139" s="5"/>
      <c r="D139" s="5"/>
      <c r="E139" s="8"/>
      <c r="F139" s="8"/>
    </row>
    <row r="140" spans="1:6" ht="15" customHeight="1" x14ac:dyDescent="0.2">
      <c r="A140" s="5"/>
      <c r="D140" s="5"/>
      <c r="E140" s="8"/>
      <c r="F140" s="8"/>
    </row>
    <row r="141" spans="1:6" ht="15" customHeight="1" x14ac:dyDescent="0.2">
      <c r="A141" s="5"/>
      <c r="D141" s="5"/>
      <c r="E141" s="8"/>
      <c r="F141" s="8"/>
    </row>
    <row r="142" spans="1:6" ht="15" customHeight="1" x14ac:dyDescent="0.2">
      <c r="A142" s="5"/>
      <c r="D142" s="5"/>
      <c r="E142" s="8"/>
      <c r="F142" s="8"/>
    </row>
    <row r="143" spans="1:6" ht="15" customHeight="1" x14ac:dyDescent="0.2">
      <c r="A143" s="5"/>
      <c r="D143" s="5"/>
      <c r="E143" s="8"/>
      <c r="F143" s="8"/>
    </row>
    <row r="144" spans="1:6" ht="15" customHeight="1" x14ac:dyDescent="0.2">
      <c r="A144" s="5"/>
      <c r="D144" s="5"/>
      <c r="E144" s="8"/>
      <c r="F144" s="8"/>
    </row>
    <row r="145" spans="1:6" ht="15" customHeight="1" x14ac:dyDescent="0.2">
      <c r="A145" s="5"/>
      <c r="D145" s="5"/>
      <c r="E145" s="8"/>
      <c r="F145" s="8"/>
    </row>
    <row r="146" spans="1:6" ht="15" customHeight="1" x14ac:dyDescent="0.2">
      <c r="A146" s="5"/>
      <c r="D146" s="5"/>
      <c r="E146" s="8"/>
      <c r="F146" s="8"/>
    </row>
  </sheetData>
  <mergeCells count="3">
    <mergeCell ref="F4:J4"/>
    <mergeCell ref="A4:E4"/>
    <mergeCell ref="A1:J1"/>
  </mergeCells>
  <pageMargins left="0.75" right="0.75" top="1" bottom="1" header="0.5" footer="0.5"/>
  <pageSetup paperSize="1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"/>
  <sheetViews>
    <sheetView topLeftCell="A19" workbookViewId="0">
      <selection activeCell="E44" sqref="E44"/>
    </sheetView>
  </sheetViews>
  <sheetFormatPr defaultRowHeight="12.75" x14ac:dyDescent="0.2"/>
  <cols>
    <col min="1" max="1" width="32.85546875" style="14" customWidth="1"/>
    <col min="2" max="2" width="69.7109375" style="14" customWidth="1"/>
    <col min="3" max="3" width="14.42578125" style="14" customWidth="1"/>
    <col min="4" max="4" width="9.140625" style="14"/>
    <col min="5" max="5" width="11.28515625" style="14" bestFit="1" customWidth="1"/>
    <col min="6" max="16384" width="9.140625" style="14"/>
  </cols>
  <sheetData>
    <row r="1" spans="1:4" ht="45.75" customHeight="1" x14ac:dyDescent="0.2">
      <c r="A1" s="343" t="s">
        <v>364</v>
      </c>
      <c r="B1" s="344"/>
      <c r="C1" s="345"/>
    </row>
    <row r="2" spans="1:4" s="58" customFormat="1" ht="39" customHeight="1" x14ac:dyDescent="0.2">
      <c r="A2" s="257" t="s">
        <v>316</v>
      </c>
      <c r="B2" s="57" t="s">
        <v>318</v>
      </c>
      <c r="C2" s="258" t="s">
        <v>317</v>
      </c>
    </row>
    <row r="3" spans="1:4" ht="51" x14ac:dyDescent="0.2">
      <c r="A3" s="191" t="s">
        <v>476</v>
      </c>
      <c r="B3" s="62" t="s">
        <v>477</v>
      </c>
      <c r="C3" s="260">
        <v>355872</v>
      </c>
    </row>
    <row r="4" spans="1:4" x14ac:dyDescent="0.2">
      <c r="A4" s="273" t="s">
        <v>310</v>
      </c>
      <c r="B4" s="53" t="s">
        <v>334</v>
      </c>
      <c r="C4" s="262">
        <v>1020</v>
      </c>
    </row>
    <row r="5" spans="1:4" x14ac:dyDescent="0.2">
      <c r="A5" s="273"/>
      <c r="B5" s="53"/>
      <c r="C5" s="262"/>
    </row>
    <row r="6" spans="1:4" x14ac:dyDescent="0.2">
      <c r="A6" s="272"/>
      <c r="B6" s="37"/>
      <c r="C6" s="264"/>
    </row>
    <row r="7" spans="1:4" x14ac:dyDescent="0.2">
      <c r="A7" s="191" t="s">
        <v>309</v>
      </c>
      <c r="B7" s="61" t="s">
        <v>334</v>
      </c>
      <c r="C7" s="260">
        <v>2090</v>
      </c>
      <c r="D7" s="15"/>
    </row>
    <row r="8" spans="1:4" ht="45.75" customHeight="1" x14ac:dyDescent="0.2">
      <c r="A8" s="273" t="s">
        <v>319</v>
      </c>
      <c r="B8" s="56" t="s">
        <v>352</v>
      </c>
      <c r="C8" s="262">
        <v>128222</v>
      </c>
      <c r="D8" s="15"/>
    </row>
    <row r="9" spans="1:4" x14ac:dyDescent="0.2">
      <c r="A9" s="272"/>
      <c r="B9" s="37"/>
      <c r="C9" s="264"/>
    </row>
    <row r="10" spans="1:4" x14ac:dyDescent="0.2">
      <c r="A10" s="191" t="s">
        <v>321</v>
      </c>
      <c r="B10" s="61" t="s">
        <v>334</v>
      </c>
      <c r="C10" s="260">
        <v>1750</v>
      </c>
    </row>
    <row r="11" spans="1:4" x14ac:dyDescent="0.2">
      <c r="A11" s="273"/>
      <c r="B11" s="53" t="s">
        <v>314</v>
      </c>
      <c r="C11" s="262"/>
    </row>
    <row r="12" spans="1:4" x14ac:dyDescent="0.2">
      <c r="A12" s="273" t="s">
        <v>320</v>
      </c>
      <c r="B12" s="53" t="s">
        <v>322</v>
      </c>
      <c r="C12" s="262">
        <f>10000000/100</f>
        <v>100000</v>
      </c>
    </row>
    <row r="13" spans="1:4" x14ac:dyDescent="0.2">
      <c r="A13" s="272"/>
      <c r="B13" s="37"/>
      <c r="C13" s="264"/>
    </row>
    <row r="14" spans="1:4" x14ac:dyDescent="0.2">
      <c r="A14" s="191" t="s">
        <v>345</v>
      </c>
      <c r="B14" s="62" t="s">
        <v>344</v>
      </c>
      <c r="C14" s="260">
        <v>52500</v>
      </c>
    </row>
    <row r="15" spans="1:4" x14ac:dyDescent="0.2">
      <c r="A15" s="273" t="s">
        <v>346</v>
      </c>
      <c r="B15" s="53" t="s">
        <v>347</v>
      </c>
      <c r="C15" s="262">
        <v>600</v>
      </c>
    </row>
    <row r="16" spans="1:4" x14ac:dyDescent="0.2">
      <c r="A16" s="272"/>
      <c r="B16" s="37"/>
      <c r="C16" s="264"/>
      <c r="D16" s="38"/>
    </row>
    <row r="17" spans="1:5" ht="24" customHeight="1" x14ac:dyDescent="0.2">
      <c r="A17" s="191" t="s">
        <v>311</v>
      </c>
      <c r="B17" s="62" t="s">
        <v>348</v>
      </c>
      <c r="C17" s="260">
        <v>23496</v>
      </c>
      <c r="D17" s="38"/>
    </row>
    <row r="18" spans="1:5" x14ac:dyDescent="0.2">
      <c r="A18" s="273" t="s">
        <v>311</v>
      </c>
      <c r="B18" s="53" t="s">
        <v>334</v>
      </c>
      <c r="C18" s="262">
        <v>1700</v>
      </c>
    </row>
    <row r="19" spans="1:5" x14ac:dyDescent="0.2">
      <c r="A19" s="272"/>
      <c r="B19" s="37"/>
      <c r="C19" s="264"/>
    </row>
    <row r="20" spans="1:5" x14ac:dyDescent="0.2">
      <c r="A20" s="191" t="s">
        <v>312</v>
      </c>
      <c r="B20" s="61" t="s">
        <v>313</v>
      </c>
      <c r="C20" s="260">
        <v>2400</v>
      </c>
    </row>
    <row r="21" spans="1:5" x14ac:dyDescent="0.2">
      <c r="A21" s="273" t="s">
        <v>308</v>
      </c>
      <c r="B21" s="55" t="s">
        <v>349</v>
      </c>
      <c r="C21" s="262">
        <f>(500000/1000)*80</f>
        <v>40000</v>
      </c>
    </row>
    <row r="22" spans="1:5" x14ac:dyDescent="0.2">
      <c r="A22" s="272"/>
      <c r="B22" s="37"/>
      <c r="C22" s="264"/>
    </row>
    <row r="23" spans="1:5" x14ac:dyDescent="0.2">
      <c r="A23" s="191" t="s">
        <v>315</v>
      </c>
      <c r="B23" s="61" t="s">
        <v>334</v>
      </c>
      <c r="C23" s="248">
        <v>2090</v>
      </c>
    </row>
    <row r="24" spans="1:5" x14ac:dyDescent="0.2">
      <c r="A24" s="273"/>
      <c r="B24" s="53" t="s">
        <v>372</v>
      </c>
      <c r="C24" s="262">
        <v>62476</v>
      </c>
    </row>
    <row r="25" spans="1:5" x14ac:dyDescent="0.2">
      <c r="A25" s="272"/>
      <c r="B25" s="37"/>
      <c r="C25" s="265"/>
    </row>
    <row r="26" spans="1:5" ht="28.5" customHeight="1" x14ac:dyDescent="0.2">
      <c r="A26" s="191" t="s">
        <v>323</v>
      </c>
      <c r="B26" s="62" t="s">
        <v>353</v>
      </c>
      <c r="C26" s="260">
        <v>0</v>
      </c>
    </row>
    <row r="27" spans="1:5" ht="28.5" customHeight="1" x14ac:dyDescent="0.2">
      <c r="A27" s="191" t="s">
        <v>478</v>
      </c>
      <c r="B27" s="62" t="s">
        <v>479</v>
      </c>
      <c r="C27" s="260">
        <f>0.15*C28</f>
        <v>21000</v>
      </c>
    </row>
    <row r="28" spans="1:5" ht="28.5" customHeight="1" x14ac:dyDescent="0.2">
      <c r="A28" s="273" t="s">
        <v>354</v>
      </c>
      <c r="B28" s="56" t="s">
        <v>473</v>
      </c>
      <c r="C28" s="262">
        <v>140000</v>
      </c>
    </row>
    <row r="29" spans="1:5" ht="13.5" thickBot="1" x14ac:dyDescent="0.25">
      <c r="A29" s="266"/>
      <c r="B29" s="267" t="s">
        <v>133</v>
      </c>
      <c r="C29" s="268">
        <f>SUM(C3:C28)</f>
        <v>935216</v>
      </c>
      <c r="E29" s="269"/>
    </row>
    <row r="30" spans="1:5" x14ac:dyDescent="0.2">
      <c r="A30" s="346" t="s">
        <v>374</v>
      </c>
      <c r="B30" s="346"/>
      <c r="C30" s="270">
        <f>C29/40</f>
        <v>23380.400000000001</v>
      </c>
    </row>
    <row r="31" spans="1:5" x14ac:dyDescent="0.2">
      <c r="A31" s="312"/>
      <c r="B31" s="312" t="s">
        <v>481</v>
      </c>
      <c r="C31" s="313">
        <f>C30/12</f>
        <v>1948.3666666666668</v>
      </c>
    </row>
  </sheetData>
  <mergeCells count="2">
    <mergeCell ref="A1:C1"/>
    <mergeCell ref="A30:B30"/>
  </mergeCells>
  <pageMargins left="0.7" right="0.7" top="0.75" bottom="0.75" header="0.3" footer="0.3"/>
  <pageSetup paperSize="17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workbookViewId="0">
      <selection activeCell="H3" sqref="H3"/>
    </sheetView>
  </sheetViews>
  <sheetFormatPr defaultRowHeight="12.75" x14ac:dyDescent="0.2"/>
  <cols>
    <col min="1" max="1" width="32.85546875" style="14" customWidth="1"/>
    <col min="2" max="2" width="69.7109375" style="14" customWidth="1"/>
    <col min="3" max="3" width="14.42578125" style="14" customWidth="1"/>
    <col min="4" max="16384" width="9.140625" style="14"/>
  </cols>
  <sheetData>
    <row r="1" spans="1:4" ht="45.75" customHeight="1" x14ac:dyDescent="0.2">
      <c r="A1" s="343" t="s">
        <v>367</v>
      </c>
      <c r="B1" s="344"/>
      <c r="C1" s="345"/>
    </row>
    <row r="2" spans="1:4" s="58" customFormat="1" ht="39" customHeight="1" x14ac:dyDescent="0.2">
      <c r="A2" s="257" t="s">
        <v>316</v>
      </c>
      <c r="B2" s="57" t="s">
        <v>318</v>
      </c>
      <c r="C2" s="258" t="s">
        <v>317</v>
      </c>
    </row>
    <row r="3" spans="1:4" ht="51" x14ac:dyDescent="0.2">
      <c r="A3" s="259" t="s">
        <v>351</v>
      </c>
      <c r="B3" s="62" t="s">
        <v>363</v>
      </c>
      <c r="C3" s="260">
        <v>218998</v>
      </c>
    </row>
    <row r="4" spans="1:4" x14ac:dyDescent="0.2">
      <c r="A4" s="261" t="s">
        <v>310</v>
      </c>
      <c r="B4" s="53" t="s">
        <v>334</v>
      </c>
      <c r="C4" s="262">
        <v>1020</v>
      </c>
    </row>
    <row r="5" spans="1:4" x14ac:dyDescent="0.2">
      <c r="A5" s="261"/>
      <c r="B5" s="53"/>
      <c r="C5" s="262"/>
    </row>
    <row r="6" spans="1:4" x14ac:dyDescent="0.2">
      <c r="A6" s="263"/>
      <c r="B6" s="37"/>
      <c r="C6" s="264"/>
    </row>
    <row r="7" spans="1:4" x14ac:dyDescent="0.2">
      <c r="A7" s="259" t="s">
        <v>309</v>
      </c>
      <c r="B7" s="61" t="s">
        <v>334</v>
      </c>
      <c r="C7" s="260">
        <v>2090</v>
      </c>
      <c r="D7" s="15"/>
    </row>
    <row r="8" spans="1:4" ht="45.75" customHeight="1" x14ac:dyDescent="0.2">
      <c r="A8" s="261" t="s">
        <v>319</v>
      </c>
      <c r="B8" s="56" t="s">
        <v>352</v>
      </c>
      <c r="C8" s="262">
        <v>72124</v>
      </c>
      <c r="D8" s="15"/>
    </row>
    <row r="9" spans="1:4" x14ac:dyDescent="0.2">
      <c r="A9" s="263"/>
      <c r="B9" s="37"/>
      <c r="C9" s="264"/>
    </row>
    <row r="10" spans="1:4" x14ac:dyDescent="0.2">
      <c r="A10" s="259" t="s">
        <v>321</v>
      </c>
      <c r="B10" s="61" t="s">
        <v>334</v>
      </c>
      <c r="C10" s="260">
        <v>1750</v>
      </c>
    </row>
    <row r="11" spans="1:4" x14ac:dyDescent="0.2">
      <c r="A11" s="261"/>
      <c r="B11" s="53" t="s">
        <v>314</v>
      </c>
      <c r="C11" s="262"/>
    </row>
    <row r="12" spans="1:4" x14ac:dyDescent="0.2">
      <c r="A12" s="261" t="s">
        <v>320</v>
      </c>
      <c r="B12" s="53" t="s">
        <v>369</v>
      </c>
      <c r="C12" s="262">
        <v>50000</v>
      </c>
    </row>
    <row r="13" spans="1:4" x14ac:dyDescent="0.2">
      <c r="A13" s="263"/>
      <c r="B13" s="37"/>
      <c r="C13" s="264"/>
    </row>
    <row r="14" spans="1:4" x14ac:dyDescent="0.2">
      <c r="A14" s="259" t="s">
        <v>345</v>
      </c>
      <c r="B14" s="62" t="s">
        <v>344</v>
      </c>
      <c r="C14" s="260">
        <v>24500</v>
      </c>
    </row>
    <row r="15" spans="1:4" x14ac:dyDescent="0.2">
      <c r="A15" s="261" t="s">
        <v>346</v>
      </c>
      <c r="B15" s="53" t="s">
        <v>347</v>
      </c>
      <c r="C15" s="262">
        <v>600</v>
      </c>
    </row>
    <row r="16" spans="1:4" x14ac:dyDescent="0.2">
      <c r="A16" s="263"/>
      <c r="B16" s="37"/>
      <c r="C16" s="264"/>
      <c r="D16" s="38"/>
    </row>
    <row r="17" spans="1:4" ht="24" customHeight="1" x14ac:dyDescent="0.2">
      <c r="A17" s="259" t="s">
        <v>311</v>
      </c>
      <c r="B17" s="62" t="s">
        <v>348</v>
      </c>
      <c r="C17" s="260">
        <v>11748</v>
      </c>
      <c r="D17" s="38"/>
    </row>
    <row r="18" spans="1:4" x14ac:dyDescent="0.2">
      <c r="A18" s="261" t="s">
        <v>311</v>
      </c>
      <c r="B18" s="53" t="s">
        <v>334</v>
      </c>
      <c r="C18" s="262">
        <v>1700</v>
      </c>
    </row>
    <row r="19" spans="1:4" x14ac:dyDescent="0.2">
      <c r="A19" s="263"/>
      <c r="B19" s="37"/>
      <c r="C19" s="264"/>
    </row>
    <row r="20" spans="1:4" x14ac:dyDescent="0.2">
      <c r="A20" s="259" t="s">
        <v>312</v>
      </c>
      <c r="B20" s="61" t="s">
        <v>313</v>
      </c>
      <c r="C20" s="260">
        <v>2400</v>
      </c>
    </row>
    <row r="21" spans="1:4" x14ac:dyDescent="0.2">
      <c r="A21" s="261" t="s">
        <v>308</v>
      </c>
      <c r="B21" s="55" t="s">
        <v>370</v>
      </c>
      <c r="C21" s="262">
        <f>(250000/1000)*80</f>
        <v>20000</v>
      </c>
    </row>
    <row r="22" spans="1:4" x14ac:dyDescent="0.2">
      <c r="A22" s="263"/>
      <c r="B22" s="37"/>
      <c r="C22" s="264"/>
    </row>
    <row r="23" spans="1:4" x14ac:dyDescent="0.2">
      <c r="A23" s="259" t="s">
        <v>315</v>
      </c>
      <c r="B23" s="61" t="s">
        <v>334</v>
      </c>
      <c r="C23" s="248">
        <v>2090</v>
      </c>
    </row>
    <row r="24" spans="1:4" x14ac:dyDescent="0.2">
      <c r="A24" s="259"/>
      <c r="B24" s="61" t="s">
        <v>371</v>
      </c>
      <c r="C24" s="260">
        <v>35403</v>
      </c>
    </row>
    <row r="25" spans="1:4" x14ac:dyDescent="0.2">
      <c r="A25" s="263"/>
      <c r="B25" s="37"/>
      <c r="C25" s="265"/>
    </row>
    <row r="26" spans="1:4" ht="28.5" customHeight="1" x14ac:dyDescent="0.2">
      <c r="A26" s="259" t="s">
        <v>323</v>
      </c>
      <c r="B26" s="62" t="s">
        <v>353</v>
      </c>
      <c r="C26" s="260">
        <v>75000</v>
      </c>
    </row>
    <row r="27" spans="1:4" ht="28.5" customHeight="1" x14ac:dyDescent="0.2">
      <c r="A27" s="307" t="s">
        <v>478</v>
      </c>
      <c r="B27" s="308" t="s">
        <v>479</v>
      </c>
      <c r="C27" s="309">
        <f>0.2*C28</f>
        <v>19000</v>
      </c>
    </row>
    <row r="28" spans="1:4" ht="28.5" customHeight="1" x14ac:dyDescent="0.2">
      <c r="A28" s="261" t="s">
        <v>354</v>
      </c>
      <c r="B28" s="56" t="s">
        <v>474</v>
      </c>
      <c r="C28" s="262">
        <v>95000</v>
      </c>
    </row>
    <row r="29" spans="1:4" ht="13.5" thickBot="1" x14ac:dyDescent="0.25">
      <c r="A29" s="266"/>
      <c r="B29" s="267" t="s">
        <v>133</v>
      </c>
      <c r="C29" s="268">
        <f>SUM(C3:C28)</f>
        <v>633423</v>
      </c>
    </row>
    <row r="30" spans="1:4" x14ac:dyDescent="0.2">
      <c r="A30" s="59"/>
      <c r="B30" s="64" t="s">
        <v>373</v>
      </c>
      <c r="C30" s="65">
        <f>C29/40</f>
        <v>15835.575000000001</v>
      </c>
    </row>
    <row r="31" spans="1:4" x14ac:dyDescent="0.2">
      <c r="A31" s="310"/>
      <c r="B31" s="312" t="s">
        <v>480</v>
      </c>
      <c r="C31" s="311">
        <f>C30/6</f>
        <v>2639.2625000000003</v>
      </c>
    </row>
  </sheetData>
  <mergeCells count="1">
    <mergeCell ref="A1:C1"/>
  </mergeCells>
  <pageMargins left="0.7" right="0.7" top="0.75" bottom="0.75" header="0.3" footer="0.3"/>
  <pageSetup paperSize="1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General Information</vt:lpstr>
      <vt:lpstr>Bowl Arena Screens</vt:lpstr>
      <vt:lpstr>Digital Signs</vt:lpstr>
      <vt:lpstr>Power Tower</vt:lpstr>
      <vt:lpstr>Army MWR Website</vt:lpstr>
      <vt:lpstr>Wallscapes</vt:lpstr>
      <vt:lpstr>Exchange Advertising</vt:lpstr>
      <vt:lpstr>12 month proposal</vt:lpstr>
      <vt:lpstr>6 month proposal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jshamilton</dc:creator>
  <cp:lastModifiedBy>carly.n.michael</cp:lastModifiedBy>
  <cp:lastPrinted>2015-06-07T01:27:43Z</cp:lastPrinted>
  <dcterms:created xsi:type="dcterms:W3CDTF">2014-01-14T19:57:13Z</dcterms:created>
  <dcterms:modified xsi:type="dcterms:W3CDTF">2015-07-16T21:24:27Z</dcterms:modified>
</cp:coreProperties>
</file>