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10620" firstSheet="3" activeTab="3"/>
  </bookViews>
  <sheets>
    <sheet name="Name of menu item" sheetId="1" state="hidden" r:id="rId1"/>
    <sheet name="Sheet4" sheetId="2" state="hidden" r:id="rId2"/>
    <sheet name="Sheet5" sheetId="3" state="hidden" r:id="rId3"/>
    <sheet name="Menu List" sheetId="4" r:id="rId4"/>
    <sheet name="Instructions" sheetId="5" r:id="rId5"/>
    <sheet name="Beef Carpaccio Crostini" sheetId="6" r:id="rId6"/>
    <sheet name="Roasted Beef Tenderloin" sheetId="7" r:id="rId7"/>
    <sheet name="Carmalized Red Onions" sheetId="8" r:id="rId8"/>
    <sheet name="Shaved Roasted Chicken Crostini" sheetId="9" r:id="rId9"/>
    <sheet name="Mini Muffaletta Slider" sheetId="10" r:id="rId10"/>
    <sheet name="Olive Salad" sheetId="11" r:id="rId11"/>
    <sheet name="Mini Bison Burger Slider" sheetId="12" r:id="rId12"/>
    <sheet name="Mini Crab Cake Slider" sheetId="13" r:id="rId13"/>
    <sheet name="Country Ham &amp; Biscuit Slider" sheetId="14" r:id="rId14"/>
    <sheet name="Buttermilk Biscuit" sheetId="15" r:id="rId15"/>
    <sheet name="Mini Portobello Mushroom Slider" sheetId="16" r:id="rId16"/>
    <sheet name="Seafood Seviche in Cucumber cup" sheetId="17" r:id="rId17"/>
    <sheet name="Cajun Chicken Canapes" sheetId="18" r:id="rId18"/>
    <sheet name="Bleu Cheese Stuffed Figs" sheetId="19" r:id="rId19"/>
    <sheet name="Capreses Skewers" sheetId="20" r:id="rId20"/>
    <sheet name="Grilled Vegetable Platter" sheetId="21" r:id="rId21"/>
  </sheets>
  <definedNames/>
  <calcPr fullCalcOnLoad="1"/>
</workbook>
</file>

<file path=xl/sharedStrings.xml><?xml version="1.0" encoding="utf-8"?>
<sst xmlns="http://schemas.openxmlformats.org/spreadsheetml/2006/main" count="1736" uniqueCount="521">
  <si>
    <t>MENU  ITEM  RECIPE  PREPARATION  AND  COST  CARD</t>
  </si>
  <si>
    <t>INGREDIENTS</t>
  </si>
  <si>
    <t>UNIT</t>
  </si>
  <si>
    <t>UNIT    COST</t>
  </si>
  <si>
    <t>PREPARATION    INSTRUCTIONS</t>
  </si>
  <si>
    <t>RECIPE  YIELD</t>
  </si>
  <si>
    <t>TOTAL  COST  OF  ITEM</t>
  </si>
  <si>
    <t>SUBTOTAL</t>
  </si>
  <si>
    <t>COMBINED  MEAL COST</t>
  </si>
  <si>
    <t>CONDIMENT   COST    10%</t>
  </si>
  <si>
    <t>7 ounce</t>
  </si>
  <si>
    <t>PURCHASED WEIGHT</t>
  </si>
  <si>
    <t>PURCHASED PRICE</t>
  </si>
  <si>
    <t>YIELD % After Prep</t>
  </si>
  <si>
    <t>CALORIES</t>
  </si>
  <si>
    <t>SODIUM</t>
  </si>
  <si>
    <t>CHOLESTEEROL</t>
  </si>
  <si>
    <t xml:space="preserve">MENU ITEM: </t>
  </si>
  <si>
    <t>TOTAL  COST / PORTION</t>
  </si>
  <si>
    <t>QUANTITY</t>
  </si>
  <si>
    <t>SERVING SIZE</t>
  </si>
  <si>
    <t>PORTION COST</t>
  </si>
  <si>
    <t>SIDE ITEM COST</t>
  </si>
  <si>
    <t>COST OF GS %</t>
  </si>
  <si>
    <t>DATE COST LAST CHECKED</t>
  </si>
  <si>
    <t xml:space="preserve">PREPARED BY:  </t>
  </si>
  <si>
    <t xml:space="preserve">REMARKS:  </t>
  </si>
  <si>
    <t xml:space="preserve">Portion Size: </t>
  </si>
  <si>
    <t>SELLING PRICE</t>
  </si>
  <si>
    <t xml:space="preserve">NUTRITIONAL INFORMATION: </t>
  </si>
  <si>
    <t>QUANTITY REQUIRED</t>
  </si>
  <si>
    <t>QUANTITY /  ONE PORTION</t>
  </si>
  <si>
    <t>PREPARATION INSTRUCTIONS</t>
  </si>
  <si>
    <t>PURCHASED PRICE  / CASE</t>
  </si>
  <si>
    <t>PURCHASED WEIGHT  or       COUNT PER CASE</t>
  </si>
  <si>
    <t>Calories</t>
  </si>
  <si>
    <t>Carbohydrates</t>
  </si>
  <si>
    <t>Protein</t>
  </si>
  <si>
    <t>Fat</t>
  </si>
  <si>
    <t>Cholesterol</t>
  </si>
  <si>
    <t>Sodium</t>
  </si>
  <si>
    <t>Calcium</t>
  </si>
  <si>
    <t>NUTRITIONAL INFORMATION</t>
  </si>
  <si>
    <t>MENU ITEM RECIPE PREPARATION</t>
  </si>
  <si>
    <t xml:space="preserve">MENU ITEM:  </t>
  </si>
  <si>
    <t xml:space="preserve">* Note:  Nutritional Information is indicated for one serving size.  </t>
  </si>
  <si>
    <t xml:space="preserve">Portion Size:  </t>
  </si>
  <si>
    <t xml:space="preserve">PREPARED BY: </t>
  </si>
  <si>
    <t xml:space="preserve">Serving Size:  </t>
  </si>
  <si>
    <t>PURCHASE WEIGHT</t>
  </si>
  <si>
    <t>TOTAL COST AS PURCHASED</t>
  </si>
  <si>
    <t>RECIPE QUANTITY</t>
  </si>
  <si>
    <t>Remark</t>
  </si>
  <si>
    <t>Serving Portion</t>
  </si>
  <si>
    <t>QUANTITY REQUIRED      MEASURE</t>
  </si>
  <si>
    <t xml:space="preserve">Yield Portion Size: </t>
  </si>
  <si>
    <t>MENU  ITEM  RECIPE    COST  CARD</t>
  </si>
  <si>
    <t>PURCHASED PRICE  / CASE  PER UNIT</t>
  </si>
  <si>
    <t>2 cup</t>
  </si>
  <si>
    <t xml:space="preserve">1 ounce </t>
  </si>
  <si>
    <t>per serving</t>
  </si>
  <si>
    <t>Cost / Portion</t>
  </si>
  <si>
    <t xml:space="preserve">TOTAL  COST </t>
  </si>
  <si>
    <t>1 each</t>
  </si>
  <si>
    <t>SUB TOTAL</t>
  </si>
  <si>
    <t>REQUIRED PURCHASE WEIGHT  or  COUNT BY UNIT</t>
  </si>
  <si>
    <t>ea</t>
  </si>
  <si>
    <t>cup</t>
  </si>
  <si>
    <t>COST PER PERSON</t>
  </si>
  <si>
    <t>SELLING PRICE PER PERSON</t>
  </si>
  <si>
    <t>1 ounce per person</t>
  </si>
  <si>
    <t xml:space="preserve">1.  RECIPE PART   :  This part contains ingredients, requried quantity for each ingredients, and preparation instructions.  </t>
  </si>
  <si>
    <t xml:space="preserve">2.  RECIPE COST CALCULATION PART:  This working sheet automatically calculate  1)     requried quantity for each ingredient  based on Yield portion size,           cost per one serving portion,           total cost, and         suggested selling price based on the food cost you desire.  </t>
  </si>
  <si>
    <t>Caprese Tower</t>
  </si>
  <si>
    <t xml:space="preserve">1 Ea. </t>
  </si>
  <si>
    <t>REQUIRED WEIGHT  or   COUNT  BY PURCHASED UNIT</t>
  </si>
  <si>
    <t>Fresh Mozzarella, Sliced 1 oz. ea.(2 ea.)</t>
  </si>
  <si>
    <t>200 ea.</t>
  </si>
  <si>
    <t xml:space="preserve">For Basil Oil: </t>
  </si>
  <si>
    <t>Ounce</t>
  </si>
  <si>
    <t>lb</t>
  </si>
  <si>
    <t>Tomato Roma, Sliced 1/4 in.(3 ea.)</t>
  </si>
  <si>
    <t>300 slices</t>
  </si>
  <si>
    <t>Blend together, basil, oil, garlic, salt and pepper until smooth.</t>
  </si>
  <si>
    <t>Basil, Fresh, chopped</t>
  </si>
  <si>
    <t>Olive Oil(1.5 oz. ea)</t>
  </si>
  <si>
    <t>1.25 Gal.</t>
  </si>
  <si>
    <t>For Tower:</t>
  </si>
  <si>
    <t>gal</t>
  </si>
  <si>
    <t>Garlic, Roasted</t>
  </si>
  <si>
    <t>1/2 cup (= 4 ounce)</t>
  </si>
  <si>
    <t>On small plate place in order 1 tomato, 1 mozz slice, 1 tomato, 1 mozz slice, 1 tomato.</t>
  </si>
  <si>
    <t>head</t>
  </si>
  <si>
    <t>Pepper</t>
  </si>
  <si>
    <t>3 tbsp</t>
  </si>
  <si>
    <t>Top tower with micro greens and drizzle with basil oil and then balsamic glaze and serve.</t>
  </si>
  <si>
    <t>tbsp</t>
  </si>
  <si>
    <t>8 oz. Btl</t>
  </si>
  <si>
    <t>btl</t>
  </si>
  <si>
    <t>Salt</t>
  </si>
  <si>
    <t>5 tbsp</t>
  </si>
  <si>
    <t>48oz.Pk</t>
  </si>
  <si>
    <t>pk</t>
  </si>
  <si>
    <t>Balsamic Glaze (0.75 oz. ea.)</t>
  </si>
  <si>
    <t>1 Gal.</t>
  </si>
  <si>
    <t>12.9oz. Btl</t>
  </si>
  <si>
    <t>oz</t>
  </si>
  <si>
    <t>Micro Greens(1/4 oz. ea.)</t>
  </si>
  <si>
    <t>8 oz.</t>
  </si>
  <si>
    <t>8 oz. Pk</t>
  </si>
  <si>
    <t>1 cup = 8 ounce</t>
  </si>
  <si>
    <t>1 gal = 128 ounce</t>
  </si>
  <si>
    <t>1 Med Garlic Head = 2 tbsp</t>
  </si>
  <si>
    <t xml:space="preserve">1/2 cup = 8 tbsp </t>
  </si>
  <si>
    <t>1 Each</t>
  </si>
  <si>
    <t>DATE                         COST LAST CHECKED</t>
  </si>
  <si>
    <t xml:space="preserve">3 ounce per serving </t>
  </si>
  <si>
    <t>3 ounce per serving</t>
  </si>
  <si>
    <t>Onion, Red, Sliced 1/2 in thick</t>
  </si>
  <si>
    <t>1 pound</t>
  </si>
  <si>
    <t>Eggplant, Slice 1/4 in thick, long way</t>
  </si>
  <si>
    <t>2 pound</t>
  </si>
  <si>
    <t xml:space="preserve">for at least 2 hours.  Then grill and chill, all veggies individually, keep all veggies separated. </t>
  </si>
  <si>
    <t>Zucchini, Slice 1/4 in thick, long way</t>
  </si>
  <si>
    <t xml:space="preserve">Place all grill vegetables in elegant way in display tray, and serve. </t>
  </si>
  <si>
    <t>Yellow, Squash, Slice 1/4 in thick, long way</t>
  </si>
  <si>
    <t>Mushroom Portobello, Whole Caps, (grill whole and then slice)</t>
  </si>
  <si>
    <t>Pepper, Red, Planks</t>
  </si>
  <si>
    <t xml:space="preserve">Portion:  50 people, 3 oz. portion </t>
  </si>
  <si>
    <t>Oil, Olive,  Extra Virgin</t>
  </si>
  <si>
    <t>2 cups</t>
  </si>
  <si>
    <t>1/2 cup</t>
  </si>
  <si>
    <t xml:space="preserve">Shelf Life:  If left over, do not reuse. </t>
  </si>
  <si>
    <t xml:space="preserve">Pepper, Black, Ground </t>
  </si>
  <si>
    <t>1/4 cup</t>
  </si>
  <si>
    <t>DATE LAST CHECKED</t>
  </si>
  <si>
    <t>DATE                                        COST LAST CHECKED</t>
  </si>
  <si>
    <t>1 cup</t>
  </si>
  <si>
    <t>BACK TO THE MENU LIST</t>
  </si>
  <si>
    <t>BACK TO MENU LIST</t>
  </si>
  <si>
    <t>Taste of The States Dinner Reception Menu List</t>
  </si>
  <si>
    <t>Beef Carpaccio Crostini</t>
  </si>
  <si>
    <t>Shaved Roasted Chicken Crostini</t>
  </si>
  <si>
    <t>Mini Muffaletta Slider</t>
  </si>
  <si>
    <t>Mini Bison Burger Slider</t>
  </si>
  <si>
    <t>Mini Crab Cake Slider</t>
  </si>
  <si>
    <t>Country Ham &amp; Biscuit Slider</t>
  </si>
  <si>
    <t>Mini Portobello Mushroom Slider</t>
  </si>
  <si>
    <t>Bleu Cheese Sutffed Figs</t>
  </si>
  <si>
    <t>Caprese Skewers</t>
  </si>
  <si>
    <t>Grilled Vegetable Platter</t>
  </si>
  <si>
    <t>Seafood Seviche in Cucumber Cup</t>
  </si>
  <si>
    <t>Grilled Vegetable Display Tray</t>
  </si>
  <si>
    <t xml:space="preserve">Salt to taste </t>
  </si>
  <si>
    <t xml:space="preserve">Mix well together the olive oil, Black pepper and salt.  Tossed all individual veggies in the mixture, let marinade </t>
  </si>
  <si>
    <t>94.5 kcal</t>
  </si>
  <si>
    <t>3.6 g</t>
  </si>
  <si>
    <t>1.4 g</t>
  </si>
  <si>
    <t>8.8 g</t>
  </si>
  <si>
    <t>0 mg</t>
  </si>
  <si>
    <t>3.5 mg</t>
  </si>
  <si>
    <t>1.0 g</t>
  </si>
  <si>
    <t>Fiber</t>
  </si>
  <si>
    <t>25 lb</t>
  </si>
  <si>
    <t>10 lb</t>
  </si>
  <si>
    <t>5 lb</t>
  </si>
  <si>
    <t>1 Gal</t>
  </si>
  <si>
    <t xml:space="preserve">Balsamic Glaze </t>
  </si>
  <si>
    <t>27 ounce</t>
  </si>
  <si>
    <t>Horseradish Sauce</t>
  </si>
  <si>
    <t>Beef Tenderloin, Roasted, Sliced -- See Recipe</t>
  </si>
  <si>
    <t>Roasted Beef Tenderloin</t>
  </si>
  <si>
    <t xml:space="preserve">5 lb </t>
  </si>
  <si>
    <t>Baquette Bread</t>
  </si>
  <si>
    <t xml:space="preserve">Roast Beef Tenderloin to rare, chill, and part freeze it. </t>
  </si>
  <si>
    <t xml:space="preserve">When beef tenderloin is part frozen, slice paper thin on slicer. </t>
  </si>
  <si>
    <t xml:space="preserve">To Assemble: </t>
  </si>
  <si>
    <t xml:space="preserve">Spread horseradish sauce on crostini, top with 1-2 slices of tenderloin in a pillow style. </t>
  </si>
  <si>
    <t>Roasted Beef Tenderloin for Carpoccio</t>
  </si>
  <si>
    <t>Beef Tenderloin, Raw, 5 lb each</t>
  </si>
  <si>
    <t>Steak Seasoning</t>
  </si>
  <si>
    <t>2 1/2 cup</t>
  </si>
  <si>
    <t xml:space="preserve">29 oz. </t>
  </si>
  <si>
    <t>serving</t>
  </si>
  <si>
    <t>for Beef Carpaccio Crostini</t>
  </si>
  <si>
    <t>Caramelized Red Onions</t>
  </si>
  <si>
    <t xml:space="preserve">Onions, Red, Fresh, Juliann </t>
  </si>
  <si>
    <t>Caramelized Red Onions --  See Recipe</t>
  </si>
  <si>
    <t xml:space="preserve">Slice Bread into crostinis and brush with olive oil and toast. </t>
  </si>
  <si>
    <t xml:space="preserve">Slice Red Onion into half moons and caramelize. </t>
  </si>
  <si>
    <t>Baguette Bread</t>
  </si>
  <si>
    <t xml:space="preserve">Top with caramelized onions and drizzle with balsamic glaze. </t>
  </si>
  <si>
    <t>Cooking Sherry</t>
  </si>
  <si>
    <t>Balsamic Vinegar</t>
  </si>
  <si>
    <t>Red Wine Vinegar</t>
  </si>
  <si>
    <t>3 Tbsp</t>
  </si>
  <si>
    <t>Olive Oil</t>
  </si>
  <si>
    <t xml:space="preserve">Slice the top off of onion.  Cut the onion in half from top to bottom and peel it. </t>
  </si>
  <si>
    <t xml:space="preserve">Place half of the onion, flat side down, on a clean, flat cutting surface.  Slice the onion into half-rings.  </t>
  </si>
  <si>
    <t xml:space="preserve">The thickness of the slices is not important, although thinner slices will cook faster.  </t>
  </si>
  <si>
    <t>Place a large skillet or saucepan on the stove and add a small amount of fat.  Heat the olive oil to a medium-high</t>
  </si>
  <si>
    <t xml:space="preserve">temperature.  </t>
  </si>
  <si>
    <t xml:space="preserve">Add the onions to the hot oil.   Stir the onions until they are coated with oil. </t>
  </si>
  <si>
    <t xml:space="preserve">Adding a pinch of salt seasons the onions at the same time it speeds up the caramelizing process.  </t>
  </si>
  <si>
    <t xml:space="preserve">Continue to stir the onions.  </t>
  </si>
  <si>
    <t xml:space="preserve">Continue stirring and watch as the onions' color turns darker and darker. </t>
  </si>
  <si>
    <t xml:space="preserve">If you feel that the onions are sticking to the bottom of the pan too much, add a very small amount of water, broth, </t>
  </si>
  <si>
    <t xml:space="preserve">or wine to the pan and stir vigorously; this is called "deglazing".   The water will evaporate almost immediately </t>
  </si>
  <si>
    <t xml:space="preserve">while loosening the onion slices. </t>
  </si>
  <si>
    <t xml:space="preserve">Continue this process of cooking and deglazing until the onions have reached the color, flavor, and texture you desire. </t>
  </si>
  <si>
    <t>Salt, to taste</t>
  </si>
  <si>
    <t>1/2  ounce per person</t>
  </si>
  <si>
    <t>1/2  ounce</t>
  </si>
  <si>
    <t>pound</t>
  </si>
  <si>
    <t>10 Lt</t>
  </si>
  <si>
    <t>Tbsp</t>
  </si>
  <si>
    <t xml:space="preserve">13.5 oz. </t>
  </si>
  <si>
    <t>oz.</t>
  </si>
  <si>
    <t>Cajun Chicken Canapés</t>
  </si>
  <si>
    <t xml:space="preserve">Chicken, Breast, Raw, Boneless-skinless, </t>
  </si>
  <si>
    <t xml:space="preserve">Onion, Red, Fresh </t>
  </si>
  <si>
    <t>2 lb</t>
  </si>
  <si>
    <t>Olive, Oil</t>
  </si>
  <si>
    <t>9 tbsp + 2 tsp</t>
  </si>
  <si>
    <t>Thyme, Ground</t>
  </si>
  <si>
    <t>10 tbsp</t>
  </si>
  <si>
    <t xml:space="preserve">Roasted Red Peppers </t>
  </si>
  <si>
    <t>Black Pepper</t>
  </si>
  <si>
    <t>1 lb</t>
  </si>
  <si>
    <t>to taste</t>
  </si>
  <si>
    <t>Granulated Garlic</t>
  </si>
  <si>
    <t xml:space="preserve">Marinade chicken with salt, black pepper, granulated Garlic, and olive oil. </t>
  </si>
  <si>
    <t xml:space="preserve">Cook the chicken and diced.  </t>
  </si>
  <si>
    <t>Dice Red onions.</t>
  </si>
  <si>
    <t xml:space="preserve">Mix cooked the chicken, red onions, Balsamic Vinegar, and thyme.  </t>
  </si>
  <si>
    <t xml:space="preserve">Slice bread into rounds, and divide mixture onto bread rounds. </t>
  </si>
  <si>
    <t>20 lb</t>
  </si>
  <si>
    <t>tsp</t>
  </si>
  <si>
    <t xml:space="preserve">7 oz. </t>
  </si>
  <si>
    <t xml:space="preserve">1.5 ounce per serving </t>
  </si>
  <si>
    <t>1.5  ounce per serving</t>
  </si>
  <si>
    <t>Bleu Cheese Stuffed Figs</t>
  </si>
  <si>
    <t>Capreses Skewers</t>
  </si>
  <si>
    <t>1.5 ounce per serving</t>
  </si>
  <si>
    <t>1 slider per serving</t>
  </si>
  <si>
    <t>Taste of New Orleans</t>
  </si>
  <si>
    <t>Italian Bread Dinner Rolls</t>
  </si>
  <si>
    <t>50 counts</t>
  </si>
  <si>
    <t xml:space="preserve">Preheat the oven to 350 degrees F. </t>
  </si>
  <si>
    <t>each</t>
  </si>
  <si>
    <t>150 each</t>
  </si>
  <si>
    <t xml:space="preserve">Olive Salad -- see recipe or Italian Olive Salad </t>
  </si>
  <si>
    <t>Slice rolls in half and place, inside up, on large cookie sheet.</t>
  </si>
  <si>
    <t>1 gal</t>
  </si>
  <si>
    <t>Mozzarella Cheese, thinly sliced</t>
  </si>
  <si>
    <t>20 ounces</t>
  </si>
  <si>
    <t>Spread the cut sides of each half of bread with equal amounts of the olive salad and oil.</t>
  </si>
  <si>
    <t>cappocolo, culatello, or other cured Italian Ham, thinly sliced</t>
  </si>
  <si>
    <t>30 ounces</t>
  </si>
  <si>
    <t xml:space="preserve">Arrange the mozzarella over the olive salad on the bottom piece of bread and top with the salami, cappocolo, </t>
  </si>
  <si>
    <t>Genoa Salami, thinly sliced</t>
  </si>
  <si>
    <t xml:space="preserve">mortadella, and pepperoni. </t>
  </si>
  <si>
    <t xml:space="preserve">Mortadella, thinly sliced </t>
  </si>
  <si>
    <t>Arrange the provolone on the top piece of bread, completely covering the olive salad, and place on top of the bottom</t>
  </si>
  <si>
    <t>Pepperoni, peppered salami, or other spiced hard sausage, thinly sliced</t>
  </si>
  <si>
    <t>10 ounces</t>
  </si>
  <si>
    <t xml:space="preserve">half to make a sandwich. </t>
  </si>
  <si>
    <t>Provolone or fontina cheese, thinly sliced</t>
  </si>
  <si>
    <t xml:space="preserve">Tightly wrap the sandwich in aluminum foil and bake until sandwiches is heated through and cheeses have melted, </t>
  </si>
  <si>
    <t>6 / 1.5 lb</t>
  </si>
  <si>
    <t xml:space="preserve">15 to 20 minutes.  </t>
  </si>
  <si>
    <t xml:space="preserve">Unwrap the sandwich and serve. </t>
  </si>
  <si>
    <t>Olive Salad</t>
  </si>
  <si>
    <t>2.5 oz. per serving</t>
  </si>
  <si>
    <t>Gallon</t>
  </si>
  <si>
    <t>4 qts.</t>
  </si>
  <si>
    <t xml:space="preserve">Combine all ingredients in a large nonreactive bowl and mix well. </t>
  </si>
  <si>
    <t>qts</t>
  </si>
  <si>
    <t>qt</t>
  </si>
  <si>
    <t>Large Greek black olives, drained and pitted</t>
  </si>
  <si>
    <t>6 cups</t>
  </si>
  <si>
    <t xml:space="preserve">Place in a nonreactive jar (preferable glass) and store tightly covered in the refrigerator. </t>
  </si>
  <si>
    <t>4.4 lb</t>
  </si>
  <si>
    <t>Extra Virgin Olive Oil</t>
  </si>
  <si>
    <t>Salad should be made at least 24 hours before using and only improves with age, can keep for up to 2 months</t>
  </si>
  <si>
    <t>Vegetable Oil</t>
  </si>
  <si>
    <t xml:space="preserve">in the refrigerator. </t>
  </si>
  <si>
    <t>Pickled Cauliflower, drained</t>
  </si>
  <si>
    <t>4 cups</t>
  </si>
  <si>
    <t>Celery, bunch, sliced diagonally</t>
  </si>
  <si>
    <t>1 bunch</t>
  </si>
  <si>
    <t>bunch</t>
  </si>
  <si>
    <t>36 bunch</t>
  </si>
  <si>
    <t>bnc</t>
  </si>
  <si>
    <t>Carrots, Medium, peeled and thinly sliced diagonally</t>
  </si>
  <si>
    <t xml:space="preserve">1 pound </t>
  </si>
  <si>
    <t>Pepperoncini, drained and chopped coarsely</t>
  </si>
  <si>
    <t>Cocktail Onions, drained, chopped</t>
  </si>
  <si>
    <t>1 1/2 cup</t>
  </si>
  <si>
    <t xml:space="preserve">32 oz. </t>
  </si>
  <si>
    <t>Small Capers, Drained</t>
  </si>
  <si>
    <t>16 oz.</t>
  </si>
  <si>
    <t>Garlic, Fresh, Minced</t>
  </si>
  <si>
    <t>8 Tablespoons</t>
  </si>
  <si>
    <t>Italian Seasoning</t>
  </si>
  <si>
    <t>2 Tablespoons</t>
  </si>
  <si>
    <t>6 oz.</t>
  </si>
  <si>
    <t>Red Pepper Flakes, crushed</t>
  </si>
  <si>
    <t>3 teaspoons</t>
  </si>
  <si>
    <t>12 oz.</t>
  </si>
  <si>
    <t>Black Pepper, Ground</t>
  </si>
  <si>
    <t>1 teaspoon</t>
  </si>
  <si>
    <t>Celery seeds</t>
  </si>
  <si>
    <t>COST PER GALLON</t>
  </si>
  <si>
    <t>Trim tenderloin and remove chain.</t>
  </si>
  <si>
    <t>Rub kitchen bouqet into meat to give nice dark color.</t>
  </si>
  <si>
    <t>Roast about 10 minutes to rare.</t>
  </si>
  <si>
    <t xml:space="preserve">Pull tenderloin out of oven.  Rest.  Par freeze and slice paper thin on slicer.  </t>
  </si>
  <si>
    <t>100 each</t>
  </si>
  <si>
    <t>Roll, Sweet Silver Dollar RND (1.3 oz. - 1.5oz. )</t>
  </si>
  <si>
    <t xml:space="preserve">The pan-seared the crab cakes until golden brown on both sides. </t>
  </si>
  <si>
    <t xml:space="preserve">Place the crab cake in the bottom of the roll, and then add tomato and sauce, topped with the top of the roll. </t>
  </si>
  <si>
    <t>Tomato, Roma, Slices</t>
  </si>
  <si>
    <t xml:space="preserve">20 small size ( 5 slices from each) </t>
  </si>
  <si>
    <t xml:space="preserve">Serve warm. </t>
  </si>
  <si>
    <t>Portion:  1 each per serving</t>
  </si>
  <si>
    <t xml:space="preserve">Crab Cakes 2 oz. (conv) </t>
  </si>
  <si>
    <t>4 / 3.5 lb</t>
  </si>
  <si>
    <t>120 ea</t>
  </si>
  <si>
    <t xml:space="preserve">8 Tbsp </t>
  </si>
  <si>
    <t>Red Onion, Fresh, Diced very small</t>
  </si>
  <si>
    <t xml:space="preserve">Lime Juice </t>
  </si>
  <si>
    <t>Lemon Juice, Fresh</t>
  </si>
  <si>
    <t>Mango, peeled, seeded, and small dice</t>
  </si>
  <si>
    <t>Papaya, peeled, seeded, and small dice</t>
  </si>
  <si>
    <t>Cilantro, Fresh, chopped</t>
  </si>
  <si>
    <t>Bay Scallop</t>
  </si>
  <si>
    <t>1 1/2 lb</t>
  </si>
  <si>
    <t>15 each</t>
  </si>
  <si>
    <t>10 each</t>
  </si>
  <si>
    <t>3 each</t>
  </si>
  <si>
    <t>10 Tbsp</t>
  </si>
  <si>
    <t>1 1/4 cup</t>
  </si>
  <si>
    <t>1 1/2 Tbsp</t>
  </si>
  <si>
    <t>1/2 Tbsp</t>
  </si>
  <si>
    <t>10 pound</t>
  </si>
  <si>
    <t>12 each</t>
  </si>
  <si>
    <t>Mix jalapeno, onion, lime juice, lemon juice, mango, papaya, cilantro, and olive oil.</t>
  </si>
  <si>
    <t>Season with salt and pepper.</t>
  </si>
  <si>
    <t xml:space="preserve">Add scallops and completely immerse in marinade. </t>
  </si>
  <si>
    <t xml:space="preserve">Refrigerate over night. </t>
  </si>
  <si>
    <t xml:space="preserve">Spoon mixture into cucumber cups. </t>
  </si>
  <si>
    <t xml:space="preserve">Cut the cucumbers into 3/4-inch-thick rounds, discarding the ends. </t>
  </si>
  <si>
    <t xml:space="preserve">Using a small spoon, scoop the seeds and some of the flesh out of each round to form a small cup. </t>
  </si>
  <si>
    <t xml:space="preserve">Cover and refrigerate until ready to serve. </t>
  </si>
  <si>
    <t>Cucumber cups</t>
  </si>
  <si>
    <t>1 cucumber cup per serving</t>
  </si>
  <si>
    <t>140 count</t>
  </si>
  <si>
    <t>14 each</t>
  </si>
  <si>
    <t>8 lb</t>
  </si>
  <si>
    <t xml:space="preserve">English Cucumber </t>
  </si>
  <si>
    <t>12 / cs</t>
  </si>
  <si>
    <t>Chicken, Breast, Raw, boneless-skinless</t>
  </si>
  <si>
    <t>Red Onion, Fresh, fine chop</t>
  </si>
  <si>
    <t>Bellpepper, Red, fresh, fine dice</t>
  </si>
  <si>
    <t>Bellpepper, Green, fresh, fine dice</t>
  </si>
  <si>
    <t>Cajun Seasoning</t>
  </si>
  <si>
    <t>Mayonnaise</t>
  </si>
  <si>
    <t>6 cup</t>
  </si>
  <si>
    <t xml:space="preserve">Mix all ingredients together.  Chill for at least 2 hours. </t>
  </si>
  <si>
    <t xml:space="preserve">Serve on Baquette, crostini, or canape shell. </t>
  </si>
  <si>
    <t>4/5 lb</t>
  </si>
  <si>
    <t xml:space="preserve">22 oz. </t>
  </si>
  <si>
    <t>4 / 1 Gal</t>
  </si>
  <si>
    <t xml:space="preserve">To roast garlic, set oven at 375 degrees F.  Cut the tips off each garlic bulb.  Set bulbs, cut side up, on a sheet of aluminum foil.  Pour a teaspoon of cooking oil over the top of each bulb. </t>
  </si>
  <si>
    <t xml:space="preserve">In a large mixing bowl, break up the burger, add the roasted garlic and sprinkle in salt and pepper. Mix to combine. </t>
  </si>
  <si>
    <t xml:space="preserve">Open buns and arrange, cut side up, on rimmed baking sheet.  Place cheese slices on bun tops.  </t>
  </si>
  <si>
    <t xml:space="preserve">Place burger patties on bottom halves of the buns and spoon onions and mushrooms of top of burgers.  </t>
  </si>
  <si>
    <t>Cover with bun tops; press lightly.</t>
  </si>
  <si>
    <t>3 oz. per serving</t>
  </si>
  <si>
    <t>Bison Beef, ground</t>
  </si>
  <si>
    <t>2 Tbsp</t>
  </si>
  <si>
    <t>Sea Salt, fine</t>
  </si>
  <si>
    <t>Black Pepper, freshly ground</t>
  </si>
  <si>
    <t>1 Tbsp</t>
  </si>
  <si>
    <t>Garlic,  large bulbs</t>
  </si>
  <si>
    <t>20 bulbs</t>
  </si>
  <si>
    <t>Cooking Oil (grapeseed or peanut)</t>
  </si>
  <si>
    <t>Yellow Onions, fresh, sliced</t>
  </si>
  <si>
    <t>Mushrooms, fresh, sliced</t>
  </si>
  <si>
    <t>Cheddar Cheese, sliced</t>
  </si>
  <si>
    <t>4 lb</t>
  </si>
  <si>
    <t>Hamburger buns, small 3 inch</t>
  </si>
  <si>
    <t>bulb</t>
  </si>
  <si>
    <t>26 oz.</t>
  </si>
  <si>
    <t>50 lb</t>
  </si>
  <si>
    <t>96 each</t>
  </si>
  <si>
    <t>Buttermilk Biscuits</t>
  </si>
  <si>
    <t>Biscuit</t>
  </si>
  <si>
    <t>COST / PORTION</t>
  </si>
  <si>
    <t>TOTAL COST</t>
  </si>
  <si>
    <t>Flour, All Purpose</t>
  </si>
  <si>
    <t>5 lbs</t>
  </si>
  <si>
    <t>Sift flour, baking powder, salt and baking soda.</t>
  </si>
  <si>
    <t>Baking Powder</t>
  </si>
  <si>
    <t>5 ounce</t>
  </si>
  <si>
    <t xml:space="preserve">Cut in shortening until crumbly. </t>
  </si>
  <si>
    <t>ounce</t>
  </si>
  <si>
    <t>5 tsp</t>
  </si>
  <si>
    <t>Add buttermilk.  Mix quickly and lightly.  Do not over mix.  Turn out on floured (not listed) board</t>
  </si>
  <si>
    <t>Baking Soda</t>
  </si>
  <si>
    <t>2 tsp</t>
  </si>
  <si>
    <t xml:space="preserve">and knead gently for 1 minute.  Roll to 1/2" thick.  Cut with 2" biscuit cutter (1-1/2 oz).  </t>
  </si>
  <si>
    <t>Shortening, All Purpose</t>
  </si>
  <si>
    <t>14 ounce</t>
  </si>
  <si>
    <t>(If necessary, re-roll dough only ounce).  Place on ungreased sheet pans with sides touching to</t>
  </si>
  <si>
    <t>Buttermilk</t>
  </si>
  <si>
    <t>1 3/4 quart</t>
  </si>
  <si>
    <t xml:space="preserve">NOTE:  Do not allow dough to stand once it is mixed. </t>
  </si>
  <si>
    <t>1 Biscuit</t>
  </si>
  <si>
    <t>Baby Portabella Mushrooms</t>
  </si>
  <si>
    <t>Olive Oil, extra-virgin</t>
  </si>
  <si>
    <t>Black Pepper, ground</t>
  </si>
  <si>
    <t>Small Dinner Roll or mini hamburger buns</t>
  </si>
  <si>
    <t>Jack Cheese, sliced</t>
  </si>
  <si>
    <t>Tomatoes, Roma, sliced thickly</t>
  </si>
  <si>
    <t>Buttermilk Biscuit -- see recipe</t>
  </si>
  <si>
    <t>Country Ham Steak, sliced</t>
  </si>
  <si>
    <t>12 1/2 lb</t>
  </si>
  <si>
    <t>Spicy Honey Mustard</t>
  </si>
  <si>
    <t>4 cup</t>
  </si>
  <si>
    <t xml:space="preserve">insure soft sides.  Bake in a 350⁰F. standard oven for 12 to 15 minutes or until golden brown. </t>
  </si>
  <si>
    <t xml:space="preserve">Bake biscuits as directed recipe.   Cool slightly, about 5 minutes. </t>
  </si>
  <si>
    <t xml:space="preserve">Slice biscuits. </t>
  </si>
  <si>
    <t xml:space="preserve">Fill each biscuit with 2 oz. of Country Ham and a slice of Swiss Cheese. </t>
  </si>
  <si>
    <t xml:space="preserve">Serve with Spicy Honey Mustard. </t>
  </si>
  <si>
    <t>32 oz</t>
  </si>
  <si>
    <t>1/2 Gal</t>
  </si>
  <si>
    <t>190 kcal</t>
  </si>
  <si>
    <t>20 g</t>
  </si>
  <si>
    <t>9 g</t>
  </si>
  <si>
    <t>15 mg</t>
  </si>
  <si>
    <t>910 mg</t>
  </si>
  <si>
    <t>1 g</t>
  </si>
  <si>
    <t>Black mission figs, fresh</t>
  </si>
  <si>
    <t xml:space="preserve">Bleu cheese </t>
  </si>
  <si>
    <t>24 ounce</t>
  </si>
  <si>
    <t>Almonds, raw, roughly chopped</t>
  </si>
  <si>
    <t>Honey</t>
  </si>
  <si>
    <t>For figs, clean and stem removed.</t>
  </si>
  <si>
    <t>Pre-heat oven to 375 degrees F.</t>
  </si>
  <si>
    <t xml:space="preserve">Score the top of the figs with an "X" about half an inch deep, then stuff with bleu cheese and almonds. </t>
  </si>
  <si>
    <t xml:space="preserve">Wrap the stuffed figs with bacon and secure strip with a toothpick. </t>
  </si>
  <si>
    <t xml:space="preserve">Place the wrapped figs on a cookie sheet and cook for about 15-20 minutes or until bacon is cooked. </t>
  </si>
  <si>
    <t xml:space="preserve">Remove from the oven and let cool for about 5 minutes. </t>
  </si>
  <si>
    <t xml:space="preserve">Drizzle a little honey on the top, and serve. </t>
  </si>
  <si>
    <t>1 fig each</t>
  </si>
  <si>
    <t>100 each (about 10 lb)</t>
  </si>
  <si>
    <t>Bacon,  thin sliced strips, all natural (18-22 / lb)</t>
  </si>
  <si>
    <t>5 pound</t>
  </si>
  <si>
    <t>Marinade Mushrooms</t>
  </si>
  <si>
    <t xml:space="preserve">In a large bowl, whisk together minced garlic, balsamic vinegar, olive oil, salt, and black pepper. </t>
  </si>
  <si>
    <t xml:space="preserve">With a paper towel wipe clean and discard the steams of baby portabella mushrooms. </t>
  </si>
  <si>
    <t xml:space="preserve">Using a small spoon, carefully scoop out gills inside the mushrooms and discard. </t>
  </si>
  <si>
    <t xml:space="preserve">Place mushrooms caps in the balsamic mixture and toss to thoroughly coat. </t>
  </si>
  <si>
    <t>Pre-heat oven to 400 degrees F</t>
  </si>
  <si>
    <t xml:space="preserve">Put mushrooms on a broiler pan bowl-side up, and place in the oven. </t>
  </si>
  <si>
    <t xml:space="preserve">Cook until mushrooms have started to caramelize, about 20 minutes. </t>
  </si>
  <si>
    <t xml:space="preserve">Remove from the oven and pour out juices that have pooled inside of the mushroom caps. </t>
  </si>
  <si>
    <t xml:space="preserve">On a serving platter, place the bottom halves of dinner roll or mini hamburger buns. </t>
  </si>
  <si>
    <t xml:space="preserve">Place mushroom caps on top of the bread, with the bowl of the mushroom facing up. </t>
  </si>
  <si>
    <t xml:space="preserve">Place jack cheese and a slice of tomato on top of the mushroom. </t>
  </si>
  <si>
    <t xml:space="preserve">Place dinner roll tops and serve. </t>
  </si>
  <si>
    <t>Garlic, fresh, minced</t>
  </si>
  <si>
    <t>1 tsp</t>
  </si>
  <si>
    <t>50 ounce</t>
  </si>
  <si>
    <t xml:space="preserve">Jack Cheese:  cut in half for use. </t>
  </si>
  <si>
    <t>Baby Portabella mushroom:  8 mushrooms / lb</t>
  </si>
  <si>
    <t>Tomatoes:  10 slices per tomato</t>
  </si>
  <si>
    <t xml:space="preserve">10 each (about 1.7 lb) </t>
  </si>
  <si>
    <t>6 / 1 Lt</t>
  </si>
  <si>
    <t>2 / 5 Lt</t>
  </si>
  <si>
    <t>100 cs</t>
  </si>
  <si>
    <t>cs</t>
  </si>
  <si>
    <t>6 / 32 oz.</t>
  </si>
  <si>
    <t>1 skewer per serving</t>
  </si>
  <si>
    <t>Bamboo Skewers, 8-inch</t>
  </si>
  <si>
    <t>Pepper, black, ground</t>
  </si>
  <si>
    <t xml:space="preserve">Using a skewer, put 1 tomato followed by a bocconcini, basil, second 1 tomato and finish with a bocconcini. </t>
  </si>
  <si>
    <t>Cherry or Grape Tomatoes, fresh</t>
  </si>
  <si>
    <t>Fresh Basil, chopped</t>
  </si>
  <si>
    <t xml:space="preserve">Drizzle these sticks with chopped Basil and Balsamic Vinegar Glaze and season with salt and black pepper, to your taste. </t>
  </si>
  <si>
    <t>Cherry Tomato:  about 40 each / lb</t>
  </si>
  <si>
    <t>Tubs Bocconcini (0.3 oz. small balls of fresh Mozzarella) drained</t>
  </si>
  <si>
    <t>13.5 ounce</t>
  </si>
  <si>
    <t>3.75 lb</t>
  </si>
  <si>
    <t>100 ea / cs</t>
  </si>
  <si>
    <t>2/3 lb</t>
  </si>
  <si>
    <t>13.5 oz</t>
  </si>
  <si>
    <t xml:space="preserve">Kitchen, Bouquest, Sauce Browning &amp; Seasoning  Liquid </t>
  </si>
  <si>
    <t>15.0 g</t>
  </si>
  <si>
    <t>8.1 g</t>
  </si>
  <si>
    <t>6.2 g</t>
  </si>
  <si>
    <t>19.3 g</t>
  </si>
  <si>
    <t>180 mg</t>
  </si>
  <si>
    <t>0.9 g</t>
  </si>
  <si>
    <t xml:space="preserve">12/ 28 oz. </t>
  </si>
  <si>
    <t>24 oz.</t>
  </si>
  <si>
    <t xml:space="preserve">Wrap to seal then roast for 45 to 55 minutes, or until garlic starts becoming golden in color. </t>
  </si>
  <si>
    <t xml:space="preserve">Preheat broiler, and add burger patties to skillet.  Cook until well browned, about 2 minutes per side for medium-rare.  </t>
  </si>
  <si>
    <t xml:space="preserve">Form meat mixture  about 3 ounces each.  Refrigerate on a foil or wax paper lined baking sheet for about 45 minutes. </t>
  </si>
  <si>
    <t xml:space="preserve">Heat 1 cup of cooking oil in heavy medium skillet over medium-high heat.  Add onions and mushrooms, sprinkle with salt and peppers.  Sauté until tender and golden brown, stirring often, about 10 minutes. </t>
  </si>
  <si>
    <t>151.2 kcal</t>
  </si>
  <si>
    <t>Sprinkle with steak seasoning and roast in oven at 400 degrees F.</t>
  </si>
  <si>
    <t>Large pimiento-stuffed large green olives, drained and slightly crushed</t>
  </si>
  <si>
    <r>
      <t>Preheat saut</t>
    </r>
    <r>
      <rPr>
        <b/>
        <sz val="10"/>
        <rFont val="Calibri"/>
        <family val="2"/>
      </rPr>
      <t xml:space="preserve">é pan, add some canola or vegetable oil, enough to coat the bottom of the pan.  </t>
    </r>
  </si>
  <si>
    <t>Balsamic Vinegar Glaze</t>
  </si>
  <si>
    <t>Buttermilk Biscuit</t>
  </si>
  <si>
    <t>Pepper, Black, ground</t>
  </si>
  <si>
    <t>Jalapeno Peppers, canned, finely minced</t>
  </si>
  <si>
    <t>6 / #10 Can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</si>
</sst>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dd\-mmm\-yy"/>
    <numFmt numFmtId="167" formatCode="&quot;$&quot;#,##0.0000_);\(&quot;$&quot;#,##0.0000\)"/>
    <numFmt numFmtId="168" formatCode="&quot;$&quot;#,##0.00"/>
    <numFmt numFmtId="169" formatCode="&quot;$&quot;#,##0.0000"/>
    <numFmt numFmtId="170" formatCode="&quot;$&quot;#,##0.00000"/>
    <numFmt numFmtId="171" formatCode="&quot;$&quot;#,##0.000"/>
    <numFmt numFmtId="172" formatCode="&quot;$&quot;#,##0.0"/>
    <numFmt numFmtId="173" formatCode="_(&quot;$&quot;* #,##0.0000_);_(&quot;$&quot;* \(#,##0.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0.0000000"/>
    <numFmt numFmtId="181" formatCode="0.000000"/>
    <numFmt numFmtId="182" formatCode="0.00000"/>
    <numFmt numFmtId="183" formatCode="0.0000000000"/>
    <numFmt numFmtId="184" formatCode="0.000000000"/>
    <numFmt numFmtId="185" formatCode="0.00000000"/>
    <numFmt numFmtId="186" formatCode="[$-409]d\-mmm\-yy;@"/>
    <numFmt numFmtId="187" formatCode="_(&quot;$&quot;* #,##0.000_);_(&quot;$&quot;* \(#,##0.000\);_(&quot;$&quot;* &quot;-&quot;??_);_(@_)"/>
    <numFmt numFmtId="188" formatCode="_(&quot;$&quot;* #,##0.0000_);_(&quot;$&quot;* \(#,##0.0000\);_(&quot;$&quot;* &quot;-&quot;??_);_(@_)"/>
    <numFmt numFmtId="189" formatCode="[$-409]dddd\,\ mmmm\ dd\,\ yyyy"/>
    <numFmt numFmtId="190" formatCode="[$-409]mmmm\ d\,\ yyyy;@"/>
  </numFmts>
  <fonts count="89">
    <font>
      <sz val="10"/>
      <name val="Arial"/>
      <family val="0"/>
    </font>
    <font>
      <b/>
      <sz val="10"/>
      <name val="Arial"/>
      <family val="2"/>
    </font>
    <font>
      <b/>
      <sz val="12"/>
      <color indexed="8"/>
      <name val="Arial"/>
      <family val="2"/>
    </font>
    <font>
      <b/>
      <sz val="8"/>
      <name val="Arial"/>
      <family val="2"/>
    </font>
    <font>
      <b/>
      <sz val="8"/>
      <color indexed="8"/>
      <name val="Arial"/>
      <family val="2"/>
    </font>
    <font>
      <b/>
      <sz val="10"/>
      <color indexed="8"/>
      <name val="Arial"/>
      <family val="2"/>
    </font>
    <font>
      <sz val="9"/>
      <name val="Arial"/>
      <family val="2"/>
    </font>
    <font>
      <sz val="8"/>
      <name val="Arial"/>
      <family val="2"/>
    </font>
    <font>
      <b/>
      <sz val="9"/>
      <name val="Arial"/>
      <family val="2"/>
    </font>
    <font>
      <b/>
      <sz val="14"/>
      <name val="Arial"/>
      <family val="2"/>
    </font>
    <font>
      <b/>
      <sz val="10"/>
      <name val="Verdana"/>
      <family val="2"/>
    </font>
    <font>
      <b/>
      <sz val="12"/>
      <name val="Lucida Sans Typewriter"/>
      <family val="3"/>
    </font>
    <font>
      <b/>
      <sz val="10"/>
      <name val="Lucida Sans Typewriter"/>
      <family val="3"/>
    </font>
    <font>
      <b/>
      <sz val="11"/>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2"/>
      <name val="Calibri"/>
      <family val="2"/>
    </font>
    <font>
      <b/>
      <sz val="11"/>
      <name val="Calibri"/>
      <family val="2"/>
    </font>
    <font>
      <b/>
      <sz val="9"/>
      <name val="Calibri"/>
      <family val="2"/>
    </font>
    <font>
      <b/>
      <sz val="10"/>
      <color indexed="8"/>
      <name val="Calibri"/>
      <family val="2"/>
    </font>
    <font>
      <sz val="11"/>
      <name val="Calibri"/>
      <family val="2"/>
    </font>
    <font>
      <u val="single"/>
      <sz val="10"/>
      <name val="Calibri"/>
      <family val="2"/>
    </font>
    <font>
      <b/>
      <sz val="8"/>
      <name val="Calibri"/>
      <family val="2"/>
    </font>
    <font>
      <b/>
      <sz val="8"/>
      <color indexed="8"/>
      <name val="Calibri"/>
      <family val="2"/>
    </font>
    <font>
      <sz val="12"/>
      <name val="Calibri"/>
      <family val="2"/>
    </font>
    <font>
      <b/>
      <u val="single"/>
      <sz val="10"/>
      <name val="Calibri"/>
      <family val="2"/>
    </font>
    <font>
      <b/>
      <sz val="10"/>
      <color indexed="57"/>
      <name val="Lucida Handwriting"/>
      <family val="4"/>
    </font>
    <font>
      <b/>
      <u val="single"/>
      <sz val="10"/>
      <color indexed="12"/>
      <name val="Arial"/>
      <family val="2"/>
    </font>
    <font>
      <sz val="10"/>
      <color indexed="63"/>
      <name val="Arial"/>
      <family val="2"/>
    </font>
    <font>
      <b/>
      <sz val="16"/>
      <color indexed="30"/>
      <name val="Lucida Sans Typewriter"/>
      <family val="3"/>
    </font>
    <font>
      <b/>
      <sz val="16"/>
      <color indexed="36"/>
      <name val="Calibri"/>
      <family val="2"/>
    </font>
    <font>
      <b/>
      <sz val="14"/>
      <color indexed="36"/>
      <name val="Calibri"/>
      <family val="2"/>
    </font>
    <font>
      <sz val="14"/>
      <color indexed="36"/>
      <name val="Calibri"/>
      <family val="2"/>
    </font>
    <font>
      <b/>
      <sz val="16"/>
      <name val="Calibri"/>
      <family val="2"/>
    </font>
    <font>
      <sz val="16"/>
      <name val="Calibri"/>
      <family val="2"/>
    </font>
    <font>
      <b/>
      <sz val="14"/>
      <name val="Calibri"/>
      <family val="2"/>
    </font>
    <font>
      <sz val="14"/>
      <name val="Calibri"/>
      <family val="2"/>
    </font>
    <font>
      <b/>
      <sz val="18"/>
      <name val="Calibri"/>
      <family val="2"/>
    </font>
    <font>
      <sz val="18"/>
      <name val="Calibri"/>
      <family val="2"/>
    </font>
    <font>
      <sz val="11"/>
      <color indexed="40"/>
      <name val="Calibri"/>
      <family val="0"/>
    </font>
    <font>
      <u val="single"/>
      <sz val="11"/>
      <color indexed="8"/>
      <name val="Calibri"/>
      <family val="0"/>
    </font>
    <font>
      <sz val="66"/>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6" tint="-0.24997000396251678"/>
      <name val="Lucida Handwriting"/>
      <family val="4"/>
    </font>
    <font>
      <b/>
      <u val="single"/>
      <sz val="10"/>
      <color theme="10"/>
      <name val="Arial"/>
      <family val="2"/>
    </font>
    <font>
      <sz val="10"/>
      <color rgb="FF3D3D3D"/>
      <name val="Arial"/>
      <family val="2"/>
    </font>
    <font>
      <sz val="10"/>
      <color rgb="FF333333"/>
      <name val="Arial"/>
      <family val="2"/>
    </font>
    <font>
      <sz val="10"/>
      <color rgb="FF434242"/>
      <name val="Arial"/>
      <family val="2"/>
    </font>
    <font>
      <b/>
      <sz val="16"/>
      <color rgb="FF0070C0"/>
      <name val="Lucida Sans Typewriter"/>
      <family val="3"/>
    </font>
    <font>
      <b/>
      <sz val="16"/>
      <color rgb="FF7030A0"/>
      <name val="Calibri"/>
      <family val="2"/>
    </font>
    <font>
      <b/>
      <sz val="14"/>
      <color rgb="FF7030A0"/>
      <name val="Calibri"/>
      <family val="2"/>
    </font>
    <font>
      <sz val="14"/>
      <color rgb="FF7030A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62">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pplyProtection="1">
      <alignment/>
      <protection locked="0"/>
    </xf>
    <xf numFmtId="0" fontId="1" fillId="0" borderId="0" xfId="0" applyFont="1" applyAlignment="1">
      <alignment horizontal="center" wrapText="1"/>
    </xf>
    <xf numFmtId="0" fontId="0" fillId="0" borderId="0" xfId="0" applyBorder="1" applyAlignment="1">
      <alignment wrapText="1"/>
    </xf>
    <xf numFmtId="0" fontId="3" fillId="0" borderId="10" xfId="0" applyFont="1" applyBorder="1" applyAlignment="1">
      <alignment horizontal="center"/>
    </xf>
    <xf numFmtId="0" fontId="0" fillId="0" borderId="11" xfId="0" applyBorder="1" applyAlignment="1">
      <alignment/>
    </xf>
    <xf numFmtId="0" fontId="1" fillId="0" borderId="12" xfId="0" applyFont="1" applyBorder="1" applyAlignment="1">
      <alignment horizontal="left" vertical="center" indent="1"/>
    </xf>
    <xf numFmtId="0" fontId="1" fillId="0" borderId="0" xfId="0" applyFont="1" applyAlignment="1" applyProtection="1">
      <alignment vertical="top"/>
      <protection locked="0"/>
    </xf>
    <xf numFmtId="0" fontId="0" fillId="0" borderId="0" xfId="0" applyBorder="1" applyAlignment="1">
      <alignment horizontal="left" vertical="center" inden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16" xfId="0"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2" xfId="0" applyFont="1" applyBorder="1" applyAlignment="1">
      <alignment horizontal="center" vertical="top"/>
    </xf>
    <xf numFmtId="0" fontId="1" fillId="0" borderId="12" xfId="0" applyFont="1" applyBorder="1" applyAlignment="1">
      <alignment horizontal="center" vertical="center"/>
    </xf>
    <xf numFmtId="0" fontId="0" fillId="0" borderId="14" xfId="0" applyBorder="1" applyAlignment="1">
      <alignment/>
    </xf>
    <xf numFmtId="0" fontId="3" fillId="0" borderId="17"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1" fillId="0" borderId="18" xfId="0" applyFont="1" applyBorder="1" applyAlignment="1">
      <alignment horizontal="center"/>
    </xf>
    <xf numFmtId="0" fontId="1" fillId="0" borderId="12" xfId="0" applyFont="1" applyBorder="1" applyAlignment="1">
      <alignment horizontal="center"/>
    </xf>
    <xf numFmtId="7" fontId="4" fillId="0" borderId="0" xfId="0" applyNumberFormat="1" applyFont="1" applyBorder="1" applyAlignment="1">
      <alignment horizontal="center" wrapText="1"/>
    </xf>
    <xf numFmtId="7" fontId="2" fillId="0" borderId="17" xfId="0" applyNumberFormat="1" applyFont="1" applyBorder="1" applyAlignment="1" applyProtection="1">
      <alignment horizontal="center"/>
      <protection locked="0"/>
    </xf>
    <xf numFmtId="0" fontId="0" fillId="0" borderId="18" xfId="0" applyFont="1" applyBorder="1" applyAlignment="1">
      <alignment/>
    </xf>
    <xf numFmtId="0" fontId="3" fillId="0" borderId="0" xfId="0" applyFont="1" applyBorder="1" applyAlignment="1" applyProtection="1">
      <alignment horizontal="center" vertical="center" wrapText="1"/>
      <protection locked="0"/>
    </xf>
    <xf numFmtId="0" fontId="1" fillId="0" borderId="17" xfId="0" applyFont="1" applyBorder="1" applyAlignment="1">
      <alignment horizontal="center" vertical="center" wrapText="1"/>
    </xf>
    <xf numFmtId="7" fontId="4" fillId="0" borderId="17" xfId="0" applyNumberFormat="1" applyFont="1" applyBorder="1" applyAlignment="1">
      <alignment horizontal="center" wrapText="1"/>
    </xf>
    <xf numFmtId="0" fontId="1" fillId="0" borderId="18"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pplyProtection="1">
      <alignment horizontal="center" vertical="center"/>
      <protection locked="0"/>
    </xf>
    <xf numFmtId="44" fontId="8" fillId="0" borderId="0" xfId="44" applyFont="1" applyBorder="1" applyAlignment="1" applyProtection="1">
      <alignment horizontal="center" vertical="center"/>
      <protection locked="0"/>
    </xf>
    <xf numFmtId="9" fontId="8" fillId="0" borderId="0" xfId="60" applyFont="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Border="1" applyAlignment="1">
      <alignment wrapText="1"/>
    </xf>
    <xf numFmtId="44" fontId="1" fillId="0" borderId="12" xfId="44" applyFont="1" applyBorder="1" applyAlignment="1">
      <alignment horizontal="center" wrapText="1"/>
    </xf>
    <xf numFmtId="0" fontId="8" fillId="12" borderId="0" xfId="0" applyFont="1" applyFill="1" applyBorder="1" applyAlignment="1" applyProtection="1">
      <alignment horizontal="center" vertical="center"/>
      <protection locked="0"/>
    </xf>
    <xf numFmtId="168" fontId="8" fillId="12" borderId="0" xfId="0" applyNumberFormat="1" applyFont="1" applyFill="1" applyBorder="1" applyAlignment="1" applyProtection="1">
      <alignment horizontal="center" vertical="center"/>
      <protection locked="0"/>
    </xf>
    <xf numFmtId="44" fontId="8" fillId="12" borderId="16" xfId="44" applyFont="1" applyFill="1" applyBorder="1" applyAlignment="1">
      <alignment/>
    </xf>
    <xf numFmtId="44" fontId="5" fillId="13" borderId="15" xfId="44" applyFont="1" applyFill="1" applyBorder="1" applyAlignment="1">
      <alignment horizontal="center"/>
    </xf>
    <xf numFmtId="44" fontId="5" fillId="13" borderId="16" xfId="44" applyFont="1" applyFill="1" applyBorder="1" applyAlignment="1">
      <alignment horizontal="center"/>
    </xf>
    <xf numFmtId="44" fontId="1" fillId="13" borderId="22" xfId="0" applyNumberFormat="1" applyFont="1" applyFill="1" applyBorder="1" applyAlignment="1">
      <alignment horizontal="center" vertical="center"/>
    </xf>
    <xf numFmtId="44" fontId="5" fillId="13" borderId="12" xfId="0" applyNumberFormat="1" applyFont="1" applyFill="1" applyBorder="1" applyAlignment="1">
      <alignment horizontal="center"/>
    </xf>
    <xf numFmtId="44" fontId="0" fillId="13" borderId="12" xfId="44" applyFont="1" applyFill="1" applyBorder="1" applyAlignment="1">
      <alignment/>
    </xf>
    <xf numFmtId="44" fontId="1" fillId="13" borderId="12" xfId="44" applyFont="1" applyFill="1" applyBorder="1" applyAlignment="1">
      <alignment horizontal="center"/>
    </xf>
    <xf numFmtId="165" fontId="1" fillId="13" borderId="12" xfId="0" applyNumberFormat="1" applyFont="1" applyFill="1" applyBorder="1" applyAlignment="1">
      <alignment/>
    </xf>
    <xf numFmtId="44" fontId="8" fillId="12" borderId="16" xfId="44" applyFont="1" applyFill="1" applyBorder="1" applyAlignment="1">
      <alignment vertical="center"/>
    </xf>
    <xf numFmtId="0" fontId="8" fillId="0" borderId="0" xfId="0" applyFont="1" applyBorder="1" applyAlignment="1">
      <alignment horizontal="center" vertical="center"/>
    </xf>
    <xf numFmtId="0" fontId="34" fillId="0" borderId="23" xfId="0" applyFont="1" applyBorder="1" applyAlignment="1">
      <alignment horizontal="center" vertical="center"/>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35" fillId="0" borderId="12" xfId="0" applyFont="1" applyBorder="1" applyAlignment="1">
      <alignment horizontal="center" vertical="center" wrapText="1"/>
    </xf>
    <xf numFmtId="0" fontId="34" fillId="0" borderId="23" xfId="0" applyFont="1" applyBorder="1" applyAlignment="1">
      <alignment horizontal="center" vertical="center" wrapText="1"/>
    </xf>
    <xf numFmtId="0" fontId="36" fillId="0" borderId="0" xfId="0" applyFont="1" applyAlignment="1">
      <alignment vertical="center" wrapText="1"/>
    </xf>
    <xf numFmtId="0" fontId="1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xf>
    <xf numFmtId="0" fontId="14" fillId="0" borderId="0" xfId="0" applyFont="1" applyAlignment="1">
      <alignment horizontal="center" vertical="center" wrapText="1"/>
    </xf>
    <xf numFmtId="0" fontId="14" fillId="0" borderId="19" xfId="0" applyNumberFormat="1" applyFont="1" applyBorder="1" applyAlignment="1">
      <alignment horizontal="center" vertical="center" wrapText="1"/>
    </xf>
    <xf numFmtId="12" fontId="14" fillId="0" borderId="19" xfId="0" applyNumberFormat="1" applyFont="1" applyBorder="1" applyAlignment="1">
      <alignment horizontal="right" vertical="center" wrapText="1"/>
    </xf>
    <xf numFmtId="12" fontId="14" fillId="0" borderId="19" xfId="0" applyNumberFormat="1" applyFont="1" applyBorder="1" applyAlignment="1">
      <alignment horizontal="center" vertical="center" wrapText="1"/>
    </xf>
    <xf numFmtId="0" fontId="14" fillId="0" borderId="19" xfId="0" applyFont="1" applyBorder="1" applyAlignment="1">
      <alignment horizontal="left" vertical="center"/>
    </xf>
    <xf numFmtId="0" fontId="14" fillId="0" borderId="0" xfId="0" applyFont="1" applyBorder="1" applyAlignment="1">
      <alignment wrapText="1"/>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12" fontId="14" fillId="0" borderId="0" xfId="0" applyNumberFormat="1" applyFont="1" applyBorder="1" applyAlignment="1">
      <alignment horizontal="right" vertical="center"/>
    </xf>
    <xf numFmtId="12" fontId="14" fillId="0" borderId="0" xfId="0" applyNumberFormat="1" applyFont="1" applyBorder="1" applyAlignment="1">
      <alignment horizontal="left" vertical="center" indent="1"/>
    </xf>
    <xf numFmtId="0" fontId="14" fillId="0" borderId="0" xfId="0" applyFont="1" applyAlignment="1">
      <alignment horizontal="left" vertical="center" indent="1"/>
    </xf>
    <xf numFmtId="0" fontId="34" fillId="0" borderId="0" xfId="0" applyFont="1" applyBorder="1" applyAlignment="1">
      <alignment horizontal="left" vertical="center" indent="1"/>
    </xf>
    <xf numFmtId="12"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34" fillId="0" borderId="12" xfId="0" applyFont="1" applyBorder="1" applyAlignment="1">
      <alignment/>
    </xf>
    <xf numFmtId="0" fontId="14" fillId="0" borderId="0" xfId="0" applyFont="1" applyAlignment="1">
      <alignment horizontal="center" wrapText="1"/>
    </xf>
    <xf numFmtId="0" fontId="34" fillId="0" borderId="0" xfId="0" applyFont="1" applyAlignment="1">
      <alignment horizontal="left" vertical="center" indent="1"/>
    </xf>
    <xf numFmtId="0" fontId="14" fillId="0" borderId="17" xfId="0" applyFont="1" applyBorder="1" applyAlignment="1">
      <alignment horizontal="center" vertical="center"/>
    </xf>
    <xf numFmtId="1" fontId="37" fillId="0" borderId="0" xfId="0" applyNumberFormat="1" applyFont="1" applyBorder="1" applyAlignment="1">
      <alignment horizontal="center" vertical="center"/>
    </xf>
    <xf numFmtId="0" fontId="37" fillId="0" borderId="0" xfId="0" applyFont="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2" fontId="37" fillId="12" borderId="0"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44" fontId="37" fillId="0" borderId="0" xfId="44" applyFont="1" applyBorder="1" applyAlignment="1" applyProtection="1">
      <alignment horizontal="center" vertical="center"/>
      <protection locked="0"/>
    </xf>
    <xf numFmtId="2" fontId="37" fillId="7" borderId="0" xfId="0" applyNumberFormat="1" applyFont="1" applyFill="1" applyBorder="1" applyAlignment="1" applyProtection="1">
      <alignment horizontal="center" vertical="center"/>
      <protection locked="0"/>
    </xf>
    <xf numFmtId="44" fontId="37" fillId="12" borderId="0" xfId="0" applyNumberFormat="1" applyFont="1" applyFill="1" applyBorder="1" applyAlignment="1" applyProtection="1">
      <alignment horizontal="center" vertical="center"/>
      <protection locked="0"/>
    </xf>
    <xf numFmtId="9" fontId="37" fillId="0" borderId="0" xfId="60" applyNumberFormat="1" applyFont="1" applyBorder="1" applyAlignment="1" applyProtection="1">
      <alignment horizontal="center" vertical="center"/>
      <protection locked="0"/>
    </xf>
    <xf numFmtId="168" fontId="37" fillId="12" borderId="0" xfId="0" applyNumberFormat="1" applyFont="1" applyFill="1" applyBorder="1" applyAlignment="1" applyProtection="1">
      <alignment horizontal="center" vertical="center"/>
      <protection locked="0"/>
    </xf>
    <xf numFmtId="44" fontId="37" fillId="12" borderId="16" xfId="44" applyFont="1" applyFill="1" applyBorder="1" applyAlignment="1">
      <alignment vertical="center"/>
    </xf>
    <xf numFmtId="0" fontId="14" fillId="0" borderId="0" xfId="0" applyFont="1" applyAlignment="1" applyProtection="1">
      <alignment vertical="top"/>
      <protection locked="0"/>
    </xf>
    <xf numFmtId="0" fontId="37" fillId="0" borderId="0" xfId="0" applyFont="1" applyBorder="1" applyAlignment="1">
      <alignment horizontal="center" vertical="center"/>
    </xf>
    <xf numFmtId="0" fontId="37" fillId="0" borderId="0" xfId="0" applyNumberFormat="1" applyFont="1" applyBorder="1" applyAlignment="1">
      <alignment horizontal="center" vertical="center"/>
    </xf>
    <xf numFmtId="9" fontId="37" fillId="0" borderId="0" xfId="60" applyFont="1" applyBorder="1" applyAlignment="1" applyProtection="1">
      <alignment horizontal="center" vertical="center"/>
      <protection locked="0"/>
    </xf>
    <xf numFmtId="44" fontId="37" fillId="12" borderId="16" xfId="44" applyFont="1" applyFill="1" applyBorder="1" applyAlignment="1">
      <alignment/>
    </xf>
    <xf numFmtId="2" fontId="37" fillId="0" borderId="0" xfId="0" applyNumberFormat="1" applyFont="1" applyBorder="1" applyAlignment="1">
      <alignment horizontal="center" vertical="center"/>
    </xf>
    <xf numFmtId="1" fontId="37" fillId="12" borderId="0" xfId="0" applyNumberFormat="1" applyFont="1" applyFill="1" applyBorder="1" applyAlignment="1" applyProtection="1">
      <alignment horizontal="center" vertical="center"/>
      <protection locked="0"/>
    </xf>
    <xf numFmtId="0" fontId="14" fillId="0" borderId="18" xfId="0" applyFont="1" applyBorder="1" applyAlignment="1">
      <alignment horizontal="center" vertical="center"/>
    </xf>
    <xf numFmtId="0" fontId="34" fillId="0" borderId="21" xfId="0" applyFont="1" applyBorder="1" applyAlignment="1">
      <alignment/>
    </xf>
    <xf numFmtId="0" fontId="34" fillId="0" borderId="19" xfId="0" applyFont="1" applyBorder="1" applyAlignment="1">
      <alignment/>
    </xf>
    <xf numFmtId="0" fontId="34" fillId="0" borderId="20" xfId="0" applyFont="1" applyBorder="1" applyAlignment="1">
      <alignment/>
    </xf>
    <xf numFmtId="0" fontId="34" fillId="0" borderId="14" xfId="0" applyFont="1" applyBorder="1" applyAlignment="1">
      <alignment/>
    </xf>
    <xf numFmtId="44" fontId="38" fillId="13" borderId="15" xfId="44" applyFont="1" applyFill="1" applyBorder="1" applyAlignment="1">
      <alignment horizontal="center"/>
    </xf>
    <xf numFmtId="0" fontId="34" fillId="0" borderId="0" xfId="0" applyFont="1" applyBorder="1" applyAlignment="1">
      <alignment wrapText="1"/>
    </xf>
    <xf numFmtId="44" fontId="38" fillId="13" borderId="16" xfId="44" applyFont="1" applyFill="1" applyBorder="1" applyAlignment="1">
      <alignment horizontal="center"/>
    </xf>
    <xf numFmtId="0" fontId="34" fillId="0" borderId="12" xfId="0" applyFont="1" applyBorder="1" applyAlignment="1">
      <alignment horizontal="center" vertical="center" wrapText="1"/>
    </xf>
    <xf numFmtId="0" fontId="34" fillId="0" borderId="18" xfId="0" applyFont="1" applyBorder="1" applyAlignment="1">
      <alignment/>
    </xf>
    <xf numFmtId="44" fontId="14" fillId="13" borderId="22" xfId="0" applyNumberFormat="1" applyFont="1" applyFill="1" applyBorder="1" applyAlignment="1">
      <alignment horizontal="center" vertical="center"/>
    </xf>
    <xf numFmtId="44" fontId="14" fillId="13" borderId="15" xfId="0" applyNumberFormat="1" applyFont="1" applyFill="1" applyBorder="1" applyAlignment="1">
      <alignment horizontal="center" vertical="center" wrapText="1"/>
    </xf>
    <xf numFmtId="0" fontId="34" fillId="0" borderId="0" xfId="0" applyFont="1" applyAlignment="1" applyProtection="1">
      <alignment/>
      <protection locked="0"/>
    </xf>
    <xf numFmtId="0" fontId="14" fillId="0" borderId="18" xfId="0" applyFont="1" applyBorder="1" applyAlignment="1">
      <alignment horizontal="center"/>
    </xf>
    <xf numFmtId="0" fontId="14" fillId="0" borderId="12" xfId="0" applyFont="1" applyBorder="1" applyAlignment="1">
      <alignment horizontal="center"/>
    </xf>
    <xf numFmtId="44" fontId="38" fillId="13" borderId="12" xfId="0" applyNumberFormat="1" applyFont="1" applyFill="1" applyBorder="1" applyAlignment="1">
      <alignment horizontal="center"/>
    </xf>
    <xf numFmtId="44" fontId="34" fillId="13" borderId="12" xfId="44" applyFont="1" applyFill="1" applyBorder="1" applyAlignment="1">
      <alignment/>
    </xf>
    <xf numFmtId="44" fontId="14" fillId="13" borderId="12" xfId="44" applyFont="1" applyFill="1" applyBorder="1" applyAlignment="1">
      <alignment horizontal="center" wrapText="1"/>
    </xf>
    <xf numFmtId="44" fontId="14" fillId="0" borderId="12" xfId="44" applyFont="1" applyBorder="1" applyAlignment="1">
      <alignment horizontal="center" wrapText="1"/>
    </xf>
    <xf numFmtId="44" fontId="14" fillId="13" borderId="12" xfId="44" applyFont="1" applyFill="1" applyBorder="1" applyAlignment="1">
      <alignment horizontal="center"/>
    </xf>
    <xf numFmtId="165" fontId="14" fillId="13" borderId="12" xfId="0" applyNumberFormat="1" applyFont="1" applyFill="1" applyBorder="1" applyAlignment="1">
      <alignment/>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wrapText="1"/>
    </xf>
    <xf numFmtId="0" fontId="36" fillId="0" borderId="0" xfId="0" applyFont="1" applyBorder="1" applyAlignment="1">
      <alignment horizontal="center" vertical="top"/>
    </xf>
    <xf numFmtId="0" fontId="36" fillId="0" borderId="0" xfId="0" applyFont="1" applyBorder="1" applyAlignment="1">
      <alignment horizontal="center" vertical="center"/>
    </xf>
    <xf numFmtId="0" fontId="39" fillId="0" borderId="18" xfId="0" applyFont="1" applyBorder="1" applyAlignment="1">
      <alignment/>
    </xf>
    <xf numFmtId="0" fontId="39" fillId="0" borderId="12" xfId="0" applyFont="1" applyBorder="1" applyAlignment="1">
      <alignment/>
    </xf>
    <xf numFmtId="0" fontId="36" fillId="0" borderId="12" xfId="0" applyFont="1" applyBorder="1" applyAlignment="1">
      <alignment horizontal="center" vertical="top"/>
    </xf>
    <xf numFmtId="0" fontId="36" fillId="0" borderId="12" xfId="0" applyFont="1" applyBorder="1" applyAlignment="1">
      <alignment horizontal="center" vertical="center"/>
    </xf>
    <xf numFmtId="0" fontId="39" fillId="0" borderId="14" xfId="0" applyFont="1" applyBorder="1" applyAlignment="1">
      <alignment/>
    </xf>
    <xf numFmtId="0" fontId="36" fillId="0" borderId="14" xfId="0" applyFont="1" applyBorder="1" applyAlignment="1">
      <alignment horizontal="center" vertical="center"/>
    </xf>
    <xf numFmtId="0" fontId="36" fillId="0" borderId="14" xfId="0" applyFont="1" applyBorder="1" applyAlignment="1">
      <alignment horizontal="center" vertical="center" wrapText="1"/>
    </xf>
    <xf numFmtId="0" fontId="36" fillId="0" borderId="0" xfId="0" applyFont="1" applyBorder="1" applyAlignment="1" applyProtection="1">
      <alignment horizontal="center" vertical="center" wrapText="1"/>
      <protection locked="0"/>
    </xf>
    <xf numFmtId="7" fontId="38" fillId="0" borderId="0" xfId="0" applyNumberFormat="1" applyFont="1" applyBorder="1" applyAlignment="1">
      <alignment horizontal="center" wrapText="1"/>
    </xf>
    <xf numFmtId="0" fontId="0" fillId="0" borderId="0" xfId="0" applyAlignment="1">
      <alignment/>
    </xf>
    <xf numFmtId="0" fontId="1"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0" fillId="0" borderId="0" xfId="0" applyAlignment="1">
      <alignment wrapText="1"/>
    </xf>
    <xf numFmtId="0" fontId="35" fillId="0" borderId="0" xfId="0" applyFont="1" applyBorder="1" applyAlignment="1">
      <alignment horizontal="center" vertical="center" wrapText="1"/>
    </xf>
    <xf numFmtId="0" fontId="14" fillId="0" borderId="24" xfId="0" applyNumberFormat="1" applyFont="1" applyBorder="1" applyAlignment="1">
      <alignment horizontal="center" vertical="center"/>
    </xf>
    <xf numFmtId="12" fontId="14" fillId="0" borderId="24" xfId="0" applyNumberFormat="1" applyFont="1" applyBorder="1" applyAlignment="1">
      <alignment horizontal="center" vertical="center" wrapText="1"/>
    </xf>
    <xf numFmtId="0" fontId="14" fillId="0" borderId="24" xfId="0" applyFont="1" applyBorder="1" applyAlignment="1">
      <alignment horizontal="left" vertical="center"/>
    </xf>
    <xf numFmtId="0" fontId="1" fillId="0" borderId="0" xfId="0" applyFont="1" applyBorder="1" applyAlignment="1">
      <alignment horizontal="left" vertical="center" indent="1"/>
    </xf>
    <xf numFmtId="12" fontId="1" fillId="0" borderId="0" xfId="0" applyNumberFormat="1" applyFont="1" applyBorder="1" applyAlignment="1">
      <alignment horizontal="right" vertical="center"/>
    </xf>
    <xf numFmtId="12" fontId="1" fillId="0" borderId="0" xfId="0" applyNumberFormat="1" applyFont="1" applyBorder="1" applyAlignment="1">
      <alignment horizontal="center" vertical="center"/>
    </xf>
    <xf numFmtId="0" fontId="1" fillId="0" borderId="0" xfId="0" applyFont="1" applyBorder="1" applyAlignment="1">
      <alignment horizontal="left" vertical="center"/>
    </xf>
    <xf numFmtId="0" fontId="0" fillId="0" borderId="12" xfId="0" applyBorder="1" applyAlignment="1">
      <alignment/>
    </xf>
    <xf numFmtId="0" fontId="40" fillId="0" borderId="0" xfId="0" applyFont="1" applyBorder="1" applyAlignment="1">
      <alignment horizontal="left" vertical="center" wrapText="1"/>
    </xf>
    <xf numFmtId="1" fontId="14" fillId="0" borderId="0" xfId="0" applyNumberFormat="1"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179" fontId="14" fillId="12"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44" fontId="14" fillId="0" borderId="0" xfId="44" applyFont="1" applyBorder="1" applyAlignment="1" applyProtection="1">
      <alignment horizontal="center" vertical="center"/>
      <protection locked="0"/>
    </xf>
    <xf numFmtId="2" fontId="14" fillId="7" borderId="0" xfId="0" applyNumberFormat="1" applyFont="1" applyFill="1" applyBorder="1" applyAlignment="1" applyProtection="1">
      <alignment horizontal="center" vertical="center"/>
      <protection locked="0"/>
    </xf>
    <xf numFmtId="44" fontId="14" fillId="12" borderId="0" xfId="0" applyNumberFormat="1" applyFont="1" applyFill="1" applyBorder="1" applyAlignment="1" applyProtection="1">
      <alignment horizontal="center" vertical="center"/>
      <protection locked="0"/>
    </xf>
    <xf numFmtId="9" fontId="14" fillId="0" borderId="0" xfId="60" applyNumberFormat="1" applyFont="1" applyBorder="1" applyAlignment="1" applyProtection="1">
      <alignment horizontal="center" vertical="center"/>
      <protection locked="0"/>
    </xf>
    <xf numFmtId="168" fontId="14" fillId="12" borderId="0" xfId="0" applyNumberFormat="1" applyFont="1" applyFill="1" applyBorder="1" applyAlignment="1" applyProtection="1">
      <alignment horizontal="center" vertical="center"/>
      <protection locked="0"/>
    </xf>
    <xf numFmtId="44" fontId="14" fillId="12" borderId="16" xfId="44" applyFont="1" applyFill="1" applyBorder="1" applyAlignment="1">
      <alignment vertical="center"/>
    </xf>
    <xf numFmtId="0" fontId="34" fillId="0" borderId="0" xfId="0" applyFont="1" applyBorder="1" applyAlignment="1">
      <alignment horizontal="left" vertical="center" wrapText="1"/>
    </xf>
    <xf numFmtId="2" fontId="14" fillId="12" borderId="0" xfId="0" applyNumberFormat="1" applyFont="1" applyFill="1" applyBorder="1" applyAlignment="1" applyProtection="1">
      <alignment horizontal="center" vertical="center"/>
      <protection locked="0"/>
    </xf>
    <xf numFmtId="9" fontId="14" fillId="0" borderId="0" xfId="60" applyFont="1" applyBorder="1" applyAlignment="1" applyProtection="1">
      <alignment horizontal="center" vertical="center"/>
      <protection locked="0"/>
    </xf>
    <xf numFmtId="0" fontId="14" fillId="0" borderId="0" xfId="0" applyNumberFormat="1" applyFont="1" applyBorder="1" applyAlignment="1">
      <alignment horizontal="center" vertical="center"/>
    </xf>
    <xf numFmtId="171" fontId="14" fillId="12" borderId="0" xfId="0" applyNumberFormat="1" applyFont="1" applyFill="1" applyBorder="1" applyAlignment="1" applyProtection="1">
      <alignment horizontal="center" vertical="center"/>
      <protection locked="0"/>
    </xf>
    <xf numFmtId="1" fontId="14" fillId="7" borderId="0" xfId="0" applyNumberFormat="1" applyFont="1" applyFill="1" applyBorder="1" applyAlignment="1" applyProtection="1">
      <alignment horizontal="center" vertical="center"/>
      <protection locked="0"/>
    </xf>
    <xf numFmtId="1" fontId="14" fillId="12" borderId="0" xfId="0" applyNumberFormat="1" applyFont="1" applyFill="1" applyBorder="1" applyAlignment="1" applyProtection="1">
      <alignment horizontal="center" vertical="center"/>
      <protection locked="0"/>
    </xf>
    <xf numFmtId="44" fontId="14" fillId="12" borderId="16" xfId="44" applyFont="1" applyFill="1" applyBorder="1" applyAlignment="1">
      <alignment/>
    </xf>
    <xf numFmtId="0" fontId="14" fillId="0" borderId="0" xfId="0" applyFont="1" applyBorder="1" applyAlignment="1">
      <alignment horizontal="center"/>
    </xf>
    <xf numFmtId="0" fontId="1" fillId="0" borderId="17" xfId="0" applyFont="1" applyBorder="1" applyAlignment="1">
      <alignment horizontal="center" vertical="center"/>
    </xf>
    <xf numFmtId="0" fontId="0" fillId="0" borderId="0" xfId="0" applyBorder="1" applyAlignment="1">
      <alignment horizontal="left" vertical="center" wrapText="1"/>
    </xf>
    <xf numFmtId="0" fontId="8" fillId="7" borderId="0" xfId="0" applyFont="1" applyFill="1" applyBorder="1" applyAlignment="1" applyProtection="1">
      <alignment horizontal="center" vertical="center"/>
      <protection locked="0"/>
    </xf>
    <xf numFmtId="1" fontId="8" fillId="12"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0" fillId="0" borderId="21" xfId="0" applyBorder="1" applyAlignment="1">
      <alignment/>
    </xf>
    <xf numFmtId="0" fontId="0" fillId="0" borderId="19" xfId="0" applyBorder="1" applyAlignment="1">
      <alignment/>
    </xf>
    <xf numFmtId="0" fontId="0" fillId="0" borderId="20" xfId="0" applyBorder="1" applyAlignment="1">
      <alignment/>
    </xf>
    <xf numFmtId="0" fontId="0" fillId="0" borderId="12" xfId="0" applyBorder="1" applyAlignment="1">
      <alignment horizontal="center" vertical="center" wrapText="1"/>
    </xf>
    <xf numFmtId="0" fontId="14" fillId="0" borderId="14" xfId="0" applyFont="1" applyBorder="1" applyAlignment="1">
      <alignment horizontal="center" vertical="center" wrapText="1"/>
    </xf>
    <xf numFmtId="44" fontId="14" fillId="12" borderId="15" xfId="0" applyNumberFormat="1" applyFont="1" applyFill="1" applyBorder="1" applyAlignment="1">
      <alignment horizontal="center" vertical="center" wrapText="1"/>
    </xf>
    <xf numFmtId="0" fontId="37" fillId="0" borderId="17" xfId="0" applyFont="1" applyBorder="1" applyAlignment="1">
      <alignment horizontal="center" vertical="center"/>
    </xf>
    <xf numFmtId="0" fontId="37" fillId="0" borderId="0" xfId="0" applyFont="1" applyBorder="1" applyAlignment="1">
      <alignment horizontal="center" vertical="center" wrapText="1"/>
    </xf>
    <xf numFmtId="0" fontId="37" fillId="0" borderId="0" xfId="0" applyFont="1" applyBorder="1" applyAlignment="1">
      <alignment horizontal="center" wrapText="1"/>
    </xf>
    <xf numFmtId="0" fontId="37" fillId="0" borderId="0" xfId="0" applyFont="1" applyBorder="1" applyAlignment="1">
      <alignment wrapText="1"/>
    </xf>
    <xf numFmtId="0" fontId="41" fillId="0" borderId="0" xfId="0" applyFont="1" applyBorder="1" applyAlignment="1" applyProtection="1">
      <alignment horizontal="center" vertical="center" wrapText="1"/>
      <protection locked="0"/>
    </xf>
    <xf numFmtId="7" fontId="42" fillId="0" borderId="0" xfId="0" applyNumberFormat="1" applyFont="1" applyBorder="1" applyAlignment="1">
      <alignment horizontal="center" wrapText="1"/>
    </xf>
    <xf numFmtId="0" fontId="34" fillId="0" borderId="23"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left" vertical="center" wrapText="1"/>
    </xf>
    <xf numFmtId="0" fontId="34" fillId="0" borderId="0" xfId="0" applyFont="1" applyAlignment="1">
      <alignment/>
    </xf>
    <xf numFmtId="0" fontId="34" fillId="0" borderId="0" xfId="0" applyFont="1" applyAlignment="1">
      <alignment vertical="center" wrapText="1"/>
    </xf>
    <xf numFmtId="0" fontId="34" fillId="0" borderId="14" xfId="0" applyFont="1" applyBorder="1" applyAlignment="1">
      <alignment/>
    </xf>
    <xf numFmtId="0" fontId="43"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36" fillId="0" borderId="0" xfId="0" applyFont="1" applyAlignment="1">
      <alignment vertical="center" wrapText="1"/>
    </xf>
    <xf numFmtId="7" fontId="38" fillId="0" borderId="0" xfId="0" applyNumberFormat="1" applyFont="1" applyBorder="1" applyAlignment="1">
      <alignment horizontal="center" wrapText="1"/>
    </xf>
    <xf numFmtId="0" fontId="14" fillId="0" borderId="14" xfId="0" applyFont="1" applyBorder="1" applyAlignment="1">
      <alignment horizontal="center" vertical="center"/>
    </xf>
    <xf numFmtId="0" fontId="44" fillId="0" borderId="0" xfId="0" applyFont="1" applyBorder="1" applyAlignment="1">
      <alignment horizontal="left" vertical="center" wrapText="1"/>
    </xf>
    <xf numFmtId="0" fontId="14" fillId="0" borderId="19" xfId="0" applyFont="1" applyBorder="1" applyAlignment="1">
      <alignment horizontal="center" vertical="center" wrapText="1"/>
    </xf>
    <xf numFmtId="0" fontId="36" fillId="0" borderId="0" xfId="0" applyFont="1" applyAlignment="1">
      <alignment vertical="center" wrapText="1"/>
    </xf>
    <xf numFmtId="0" fontId="14" fillId="0" borderId="19" xfId="0" applyFont="1" applyBorder="1" applyAlignment="1">
      <alignment horizontal="center" vertical="center"/>
    </xf>
    <xf numFmtId="0" fontId="14" fillId="0" borderId="0" xfId="0" applyFont="1" applyAlignment="1">
      <alignment horizontal="center" vertical="center" wrapText="1"/>
    </xf>
    <xf numFmtId="0" fontId="34" fillId="0" borderId="14" xfId="0" applyFont="1" applyBorder="1" applyAlignment="1">
      <alignment/>
    </xf>
    <xf numFmtId="0" fontId="34" fillId="0" borderId="0" xfId="0" applyFont="1" applyAlignment="1">
      <alignment/>
    </xf>
    <xf numFmtId="0" fontId="34" fillId="0" borderId="12" xfId="0" applyFont="1" applyBorder="1" applyAlignment="1">
      <alignment/>
    </xf>
    <xf numFmtId="0" fontId="34" fillId="0" borderId="12" xfId="0" applyFont="1" applyBorder="1" applyAlignment="1">
      <alignment horizontal="center" vertical="center" wrapText="1"/>
    </xf>
    <xf numFmtId="0" fontId="14" fillId="0" borderId="0" xfId="0" applyFont="1" applyAlignment="1">
      <alignment horizontal="center" vertical="center"/>
    </xf>
    <xf numFmtId="0" fontId="34" fillId="0" borderId="23" xfId="0" applyFont="1" applyBorder="1" applyAlignment="1">
      <alignment horizontal="center" vertical="center" wrapText="1"/>
    </xf>
    <xf numFmtId="0" fontId="14" fillId="0" borderId="14" xfId="0" applyFont="1" applyBorder="1" applyAlignment="1">
      <alignment horizontal="center" vertical="center"/>
    </xf>
    <xf numFmtId="7" fontId="38" fillId="0" borderId="0" xfId="0" applyNumberFormat="1" applyFont="1" applyBorder="1" applyAlignment="1">
      <alignment horizontal="center" wrapText="1"/>
    </xf>
    <xf numFmtId="0" fontId="1" fillId="0" borderId="0" xfId="0" applyFont="1" applyAlignment="1">
      <alignment horizontal="center"/>
    </xf>
    <xf numFmtId="0" fontId="80" fillId="0" borderId="0" xfId="0" applyFont="1" applyAlignment="1">
      <alignment horizontal="center"/>
    </xf>
    <xf numFmtId="0" fontId="80" fillId="0" borderId="0" xfId="0" applyFont="1" applyAlignment="1">
      <alignment horizontal="center" vertical="center" wrapText="1"/>
    </xf>
    <xf numFmtId="0" fontId="72" fillId="0" borderId="0" xfId="54" applyAlignment="1" applyProtection="1">
      <alignment vertical="center"/>
      <protection/>
    </xf>
    <xf numFmtId="0" fontId="1" fillId="0" borderId="0" xfId="0" applyFont="1" applyAlignment="1">
      <alignment/>
    </xf>
    <xf numFmtId="0" fontId="11" fillId="0" borderId="0" xfId="0" applyFont="1" applyAlignment="1">
      <alignment vertical="center"/>
    </xf>
    <xf numFmtId="0" fontId="12" fillId="0" borderId="0" xfId="0" applyFont="1" applyAlignment="1">
      <alignment/>
    </xf>
    <xf numFmtId="0" fontId="36" fillId="0" borderId="0" xfId="0" applyFont="1" applyAlignment="1">
      <alignment vertical="center"/>
    </xf>
    <xf numFmtId="0" fontId="34" fillId="0" borderId="0" xfId="0" applyFont="1" applyAlignment="1">
      <alignment/>
    </xf>
    <xf numFmtId="2" fontId="14" fillId="0" borderId="0" xfId="0" applyNumberFormat="1" applyFont="1" applyBorder="1" applyAlignment="1">
      <alignment horizontal="center" vertical="center"/>
    </xf>
    <xf numFmtId="0" fontId="14"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186" fontId="34" fillId="0" borderId="23" xfId="0" applyNumberFormat="1" applyFont="1" applyBorder="1" applyAlignment="1">
      <alignment horizontal="center" vertical="center"/>
    </xf>
    <xf numFmtId="0" fontId="37" fillId="0" borderId="0" xfId="0" applyFont="1" applyBorder="1" applyAlignment="1">
      <alignment vertical="center"/>
    </xf>
    <xf numFmtId="7" fontId="32" fillId="0" borderId="0" xfId="0" applyNumberFormat="1" applyFont="1" applyBorder="1" applyAlignment="1">
      <alignment horizontal="center" wrapText="1"/>
    </xf>
    <xf numFmtId="0" fontId="14" fillId="0" borderId="13" xfId="0" applyFont="1" applyBorder="1" applyAlignment="1">
      <alignment horizontal="center" vertical="center"/>
    </xf>
    <xf numFmtId="44" fontId="14" fillId="0" borderId="12" xfId="44" applyFont="1" applyFill="1" applyBorder="1" applyAlignment="1">
      <alignment horizontal="center" wrapText="1"/>
    </xf>
    <xf numFmtId="44" fontId="14" fillId="0" borderId="12" xfId="44" applyFont="1" applyFill="1" applyBorder="1" applyAlignment="1">
      <alignment horizontal="center"/>
    </xf>
    <xf numFmtId="0" fontId="81" fillId="0" borderId="0" xfId="54" applyFont="1" applyAlignment="1" applyProtection="1">
      <alignment/>
      <protection/>
    </xf>
    <xf numFmtId="0" fontId="81" fillId="0" borderId="12" xfId="54" applyFont="1" applyBorder="1" applyAlignment="1" applyProtection="1">
      <alignment horizontal="center" vertical="center" wrapText="1"/>
      <protection/>
    </xf>
    <xf numFmtId="0" fontId="81" fillId="0" borderId="0" xfId="54" applyFont="1" applyAlignment="1" applyProtection="1">
      <alignment horizontal="left"/>
      <protection/>
    </xf>
    <xf numFmtId="0" fontId="81" fillId="0" borderId="0" xfId="54" applyFont="1" applyAlignment="1" applyProtection="1">
      <alignment horizontal="right"/>
      <protection/>
    </xf>
    <xf numFmtId="0" fontId="80" fillId="0" borderId="0" xfId="0" applyFont="1" applyAlignment="1">
      <alignment/>
    </xf>
    <xf numFmtId="7" fontId="38" fillId="0" borderId="0" xfId="0" applyNumberFormat="1" applyFont="1" applyBorder="1" applyAlignment="1">
      <alignment horizontal="center" wrapText="1"/>
    </xf>
    <xf numFmtId="0" fontId="34" fillId="0" borderId="23" xfId="0" applyFont="1" applyBorder="1" applyAlignment="1">
      <alignment horizontal="center"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wrapText="1"/>
    </xf>
    <xf numFmtId="0" fontId="36" fillId="0" borderId="0" xfId="0" applyFont="1" applyAlignment="1">
      <alignment vertical="center" wrapText="1"/>
    </xf>
    <xf numFmtId="0" fontId="14" fillId="0" borderId="19" xfId="0" applyFont="1" applyBorder="1" applyAlignment="1">
      <alignment horizontal="center" vertical="center"/>
    </xf>
    <xf numFmtId="0" fontId="34" fillId="0" borderId="12" xfId="0" applyFont="1" applyBorder="1" applyAlignment="1">
      <alignment horizontal="center" vertical="center" wrapText="1"/>
    </xf>
    <xf numFmtId="0" fontId="34" fillId="0" borderId="0" xfId="0" applyFont="1" applyAlignment="1">
      <alignment/>
    </xf>
    <xf numFmtId="0" fontId="34" fillId="0" borderId="12" xfId="0" applyFont="1" applyBorder="1" applyAlignment="1">
      <alignment/>
    </xf>
    <xf numFmtId="0" fontId="34" fillId="0" borderId="14" xfId="0" applyFont="1" applyBorder="1" applyAlignment="1">
      <alignment/>
    </xf>
    <xf numFmtId="0" fontId="14" fillId="0" borderId="0" xfId="0" applyFont="1" applyAlignment="1">
      <alignment horizontal="center" vertical="center" wrapText="1"/>
    </xf>
    <xf numFmtId="0" fontId="34" fillId="0" borderId="0" xfId="0" applyFont="1" applyBorder="1" applyAlignment="1">
      <alignment wrapText="1"/>
    </xf>
    <xf numFmtId="0" fontId="36" fillId="0" borderId="0" xfId="0" applyFont="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36" fillId="0" borderId="14" xfId="0" applyFont="1" applyBorder="1" applyAlignment="1">
      <alignment horizontal="center" vertical="center" wrapText="1"/>
    </xf>
    <xf numFmtId="0" fontId="14" fillId="0" borderId="0" xfId="0" applyFont="1" applyAlignment="1">
      <alignment horizontal="center" vertical="center"/>
    </xf>
    <xf numFmtId="0" fontId="34" fillId="0" borderId="23" xfId="0" applyFont="1" applyBorder="1" applyAlignment="1">
      <alignment horizontal="center" vertical="center" wrapText="1"/>
    </xf>
    <xf numFmtId="0" fontId="36" fillId="0" borderId="14" xfId="0" applyFont="1" applyBorder="1" applyAlignment="1">
      <alignment horizontal="center" vertical="center"/>
    </xf>
    <xf numFmtId="7" fontId="38" fillId="0" borderId="0" xfId="0" applyNumberFormat="1" applyFont="1" applyBorder="1" applyAlignment="1">
      <alignment horizontal="center" wrapText="1"/>
    </xf>
    <xf numFmtId="0" fontId="14" fillId="0" borderId="0" xfId="0" applyFont="1" applyAlignment="1">
      <alignment horizontal="center" vertical="center" wrapText="1"/>
    </xf>
    <xf numFmtId="0" fontId="34" fillId="0" borderId="14" xfId="0" applyFont="1" applyBorder="1" applyAlignment="1">
      <alignment/>
    </xf>
    <xf numFmtId="0" fontId="34" fillId="0" borderId="0" xfId="0" applyFont="1" applyAlignment="1">
      <alignment/>
    </xf>
    <xf numFmtId="0" fontId="34" fillId="0" borderId="12" xfId="0" applyFont="1" applyBorder="1" applyAlignment="1">
      <alignment horizontal="center" vertical="center" wrapText="1"/>
    </xf>
    <xf numFmtId="0" fontId="34" fillId="0" borderId="0" xfId="0" applyFont="1" applyBorder="1" applyAlignment="1">
      <alignment wrapText="1"/>
    </xf>
    <xf numFmtId="7" fontId="38" fillId="0" borderId="0" xfId="0" applyNumberFormat="1" applyFont="1" applyBorder="1" applyAlignment="1">
      <alignment horizontal="center" wrapText="1"/>
    </xf>
    <xf numFmtId="0" fontId="34" fillId="0" borderId="23" xfId="0" applyFont="1" applyBorder="1" applyAlignment="1">
      <alignment horizontal="center"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wrapText="1"/>
    </xf>
    <xf numFmtId="0" fontId="36" fillId="0" borderId="0" xfId="0" applyFont="1" applyAlignment="1">
      <alignment vertical="center" wrapText="1"/>
    </xf>
    <xf numFmtId="0" fontId="14" fillId="0" borderId="19" xfId="0" applyFont="1" applyBorder="1" applyAlignment="1">
      <alignment horizontal="center" vertical="center"/>
    </xf>
    <xf numFmtId="0" fontId="34" fillId="0" borderId="12" xfId="0" applyFont="1" applyBorder="1" applyAlignment="1">
      <alignment horizontal="center" vertical="center" wrapText="1"/>
    </xf>
    <xf numFmtId="0" fontId="34" fillId="0" borderId="0" xfId="0" applyFont="1" applyAlignment="1">
      <alignment/>
    </xf>
    <xf numFmtId="0" fontId="34" fillId="0" borderId="12" xfId="0" applyFont="1" applyBorder="1" applyAlignment="1">
      <alignment/>
    </xf>
    <xf numFmtId="0" fontId="34" fillId="0" borderId="14" xfId="0" applyFont="1" applyBorder="1" applyAlignment="1">
      <alignment/>
    </xf>
    <xf numFmtId="0" fontId="14" fillId="0" borderId="0" xfId="0" applyFont="1" applyAlignment="1">
      <alignment horizontal="center" vertical="center" wrapText="1"/>
    </xf>
    <xf numFmtId="0" fontId="34" fillId="0" borderId="0" xfId="0" applyFont="1" applyBorder="1" applyAlignment="1">
      <alignment wrapText="1"/>
    </xf>
    <xf numFmtId="169" fontId="37" fillId="12" borderId="0" xfId="0" applyNumberFormat="1" applyFont="1" applyFill="1" applyBorder="1" applyAlignment="1" applyProtection="1">
      <alignment horizontal="center" vertical="center"/>
      <protection locked="0"/>
    </xf>
    <xf numFmtId="0" fontId="36" fillId="0" borderId="0" xfId="0" applyFont="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4" fillId="0" borderId="0" xfId="0" applyFont="1" applyAlignment="1">
      <alignment horizontal="center" vertical="center"/>
    </xf>
    <xf numFmtId="0" fontId="34" fillId="0" borderId="23" xfId="0" applyFont="1" applyBorder="1" applyAlignment="1">
      <alignment horizontal="center" vertical="center" wrapText="1"/>
    </xf>
    <xf numFmtId="0" fontId="14" fillId="0" borderId="14" xfId="0" applyFont="1" applyBorder="1" applyAlignment="1">
      <alignment horizontal="center" vertical="center"/>
    </xf>
    <xf numFmtId="7" fontId="38" fillId="0" borderId="0" xfId="0" applyNumberFormat="1" applyFont="1" applyBorder="1" applyAlignment="1">
      <alignment horizontal="center" wrapText="1"/>
    </xf>
    <xf numFmtId="0" fontId="14" fillId="0" borderId="0" xfId="0" applyFont="1" applyAlignment="1">
      <alignment horizontal="center" vertical="center" wrapText="1"/>
    </xf>
    <xf numFmtId="0" fontId="34" fillId="0" borderId="14" xfId="0" applyFont="1" applyBorder="1" applyAlignment="1">
      <alignment/>
    </xf>
    <xf numFmtId="0" fontId="34" fillId="0" borderId="0" xfId="0" applyFont="1" applyAlignment="1">
      <alignment/>
    </xf>
    <xf numFmtId="0" fontId="34" fillId="0" borderId="12" xfId="0" applyFont="1" applyBorder="1" applyAlignment="1">
      <alignment/>
    </xf>
    <xf numFmtId="0" fontId="34" fillId="0" borderId="12" xfId="0" applyFont="1" applyBorder="1" applyAlignment="1">
      <alignment horizontal="center" vertical="center" wrapText="1"/>
    </xf>
    <xf numFmtId="0" fontId="34" fillId="0" borderId="0" xfId="0" applyFont="1" applyBorder="1" applyAlignment="1">
      <alignment wrapText="1"/>
    </xf>
    <xf numFmtId="0" fontId="34" fillId="0" borderId="23" xfId="0" applyFont="1" applyBorder="1" applyAlignment="1">
      <alignment horizontal="center"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36" fillId="0" borderId="0" xfId="0" applyFont="1" applyAlignment="1">
      <alignment vertical="center" wrapText="1"/>
    </xf>
    <xf numFmtId="0" fontId="14" fillId="0" borderId="0" xfId="0" applyFont="1" applyBorder="1" applyAlignment="1" applyProtection="1">
      <alignment horizontal="center" vertical="center" wrapText="1"/>
      <protection locked="0"/>
    </xf>
    <xf numFmtId="7" fontId="38" fillId="0" borderId="0"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Alignment="1">
      <alignment/>
    </xf>
    <xf numFmtId="0" fontId="34" fillId="0" borderId="12" xfId="0" applyFont="1" applyBorder="1" applyAlignment="1">
      <alignment/>
    </xf>
    <xf numFmtId="0" fontId="34" fillId="0" borderId="14" xfId="0" applyFont="1" applyBorder="1" applyAlignment="1">
      <alignment/>
    </xf>
    <xf numFmtId="0" fontId="14" fillId="0" borderId="0" xfId="0" applyFont="1" applyAlignment="1">
      <alignment horizontal="center" vertical="center" wrapText="1"/>
    </xf>
    <xf numFmtId="0" fontId="34" fillId="0" borderId="0" xfId="0" applyFont="1" applyBorder="1" applyAlignment="1">
      <alignment wrapText="1"/>
    </xf>
    <xf numFmtId="0" fontId="82" fillId="0" borderId="0" xfId="0" applyFont="1" applyAlignment="1">
      <alignment/>
    </xf>
    <xf numFmtId="0" fontId="0" fillId="0" borderId="0" xfId="0" applyFont="1" applyAlignment="1">
      <alignment/>
    </xf>
    <xf numFmtId="0" fontId="83" fillId="0" borderId="0" xfId="0" applyFont="1" applyAlignment="1">
      <alignment wrapText="1"/>
    </xf>
    <xf numFmtId="0" fontId="35" fillId="0" borderId="0" xfId="0" applyFont="1" applyAlignment="1">
      <alignment horizontal="center" vertical="center" wrapText="1"/>
    </xf>
    <xf numFmtId="12" fontId="14" fillId="0" borderId="24" xfId="0" applyNumberFormat="1" applyFont="1" applyBorder="1" applyAlignment="1">
      <alignment horizontal="right" vertical="center"/>
    </xf>
    <xf numFmtId="0" fontId="41" fillId="0" borderId="19" xfId="0" applyFont="1" applyBorder="1" applyAlignment="1">
      <alignment horizontal="center" vertical="center" wrapText="1"/>
    </xf>
    <xf numFmtId="0" fontId="37" fillId="0" borderId="19" xfId="0" applyFont="1" applyBorder="1" applyAlignment="1">
      <alignment horizontal="center" vertical="center"/>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14" fillId="0" borderId="0" xfId="0" applyFont="1" applyBorder="1" applyAlignment="1">
      <alignment horizontal="center" vertical="top"/>
    </xf>
    <xf numFmtId="0" fontId="14" fillId="0" borderId="12" xfId="0" applyFont="1" applyBorder="1" applyAlignment="1">
      <alignment horizontal="center" vertical="top"/>
    </xf>
    <xf numFmtId="166" fontId="37" fillId="0" borderId="23" xfId="0" applyNumberFormat="1" applyFont="1" applyBorder="1" applyAlignment="1">
      <alignment horizontal="center" vertical="center"/>
    </xf>
    <xf numFmtId="7" fontId="38" fillId="0" borderId="17" xfId="0" applyNumberFormat="1" applyFont="1" applyBorder="1" applyAlignment="1" applyProtection="1">
      <alignment horizontal="center" vertical="center"/>
      <protection locked="0"/>
    </xf>
    <xf numFmtId="0" fontId="84" fillId="0" borderId="0" xfId="0" applyFont="1" applyAlignment="1">
      <alignment/>
    </xf>
    <xf numFmtId="178" fontId="14" fillId="0" borderId="0" xfId="0" applyNumberFormat="1" applyFont="1" applyBorder="1" applyAlignment="1">
      <alignment horizontal="center" vertical="center"/>
    </xf>
    <xf numFmtId="188" fontId="14" fillId="13" borderId="15" xfId="0"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xf>
    <xf numFmtId="0" fontId="34" fillId="0" borderId="27" xfId="0" applyFont="1" applyBorder="1" applyAlignment="1">
      <alignment horizontal="center" vertical="center" wrapText="1"/>
    </xf>
    <xf numFmtId="0" fontId="34" fillId="0" borderId="23" xfId="0" applyFont="1" applyBorder="1" applyAlignment="1">
      <alignment horizontal="center" vertical="center" wrapText="1"/>
    </xf>
    <xf numFmtId="0" fontId="81" fillId="0" borderId="0" xfId="54" applyFont="1" applyAlignment="1" applyProtection="1">
      <alignment horizontal="center" vertical="center" wrapText="1"/>
      <protection/>
    </xf>
    <xf numFmtId="0" fontId="6" fillId="0" borderId="0"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8" fillId="0" borderId="17"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center" wrapText="1" indent="1" shrinkToFit="1"/>
      <protection locked="0"/>
    </xf>
    <xf numFmtId="0" fontId="8" fillId="0" borderId="0" xfId="0" applyFont="1" applyBorder="1" applyAlignment="1" applyProtection="1">
      <alignment horizontal="left" vertical="center" wrapText="1" indent="1" shrinkToFit="1"/>
      <protection locked="0"/>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7" fontId="4" fillId="0" borderId="0" xfId="0" applyNumberFormat="1" applyFont="1" applyBorder="1" applyAlignment="1">
      <alignment horizontal="center" wrapText="1"/>
    </xf>
    <xf numFmtId="0" fontId="3" fillId="0" borderId="14" xfId="0" applyFont="1" applyBorder="1" applyAlignment="1">
      <alignment horizontal="center" wrapText="1"/>
    </xf>
    <xf numFmtId="0" fontId="0" fillId="0" borderId="15" xfId="0" applyBorder="1" applyAlignment="1">
      <alignment horizontal="center" wrapText="1"/>
    </xf>
    <xf numFmtId="0" fontId="1" fillId="0" borderId="21" xfId="0" applyFont="1" applyBorder="1" applyAlignment="1">
      <alignment horizontal="center" wrapText="1"/>
    </xf>
    <xf numFmtId="0" fontId="1" fillId="0" borderId="19" xfId="0" applyFont="1" applyBorder="1" applyAlignment="1">
      <alignment horizontal="center" wrapText="1"/>
    </xf>
    <xf numFmtId="0" fontId="0" fillId="0" borderId="20" xfId="0" applyBorder="1" applyAlignment="1">
      <alignment horizontal="center" wrapText="1"/>
    </xf>
    <xf numFmtId="166"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wrapText="1"/>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0" xfId="0" applyFont="1" applyAlignment="1">
      <alignment horizontal="center" wrapText="1"/>
    </xf>
    <xf numFmtId="0" fontId="9" fillId="0" borderId="12" xfId="0" applyFont="1" applyBorder="1" applyAlignment="1">
      <alignment wrapText="1"/>
    </xf>
    <xf numFmtId="0" fontId="1" fillId="0" borderId="12" xfId="0" applyFont="1" applyBorder="1" applyAlignment="1">
      <alignment wrapText="1"/>
    </xf>
    <xf numFmtId="0" fontId="0" fillId="0" borderId="18" xfId="0" applyBorder="1" applyAlignment="1">
      <alignment wrapText="1"/>
    </xf>
    <xf numFmtId="0" fontId="0" fillId="0" borderId="22" xfId="0" applyBorder="1" applyAlignment="1">
      <alignment wrapText="1"/>
    </xf>
    <xf numFmtId="168" fontId="3" fillId="0" borderId="0" xfId="0" applyNumberFormat="1" applyFont="1" applyBorder="1" applyAlignment="1" applyProtection="1">
      <alignment wrapText="1"/>
      <protection locked="0"/>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1" fillId="0" borderId="15" xfId="0" applyFont="1" applyBorder="1" applyAlignment="1">
      <alignment horizontal="center" vertical="center"/>
    </xf>
    <xf numFmtId="7" fontId="1" fillId="13" borderId="12" xfId="44" applyNumberFormat="1" applyFont="1" applyFill="1" applyBorder="1" applyAlignment="1">
      <alignment horizontal="center" wrapText="1"/>
    </xf>
    <xf numFmtId="44" fontId="1" fillId="13" borderId="22" xfId="44" applyFont="1" applyFill="1" applyBorder="1" applyAlignment="1">
      <alignment horizontal="center" wrapText="1"/>
    </xf>
    <xf numFmtId="0" fontId="0" fillId="0" borderId="0" xfId="0" applyAlignment="1">
      <alignment/>
    </xf>
    <xf numFmtId="0" fontId="0" fillId="0" borderId="0" xfId="0" applyBorder="1" applyAlignment="1">
      <alignment horizontal="left" vertical="center" indent="1"/>
    </xf>
    <xf numFmtId="0" fontId="0" fillId="0" borderId="0" xfId="0" applyAlignment="1">
      <alignment horizontal="left" vertical="center" indent="1"/>
    </xf>
    <xf numFmtId="0" fontId="1" fillId="0" borderId="19"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85" fillId="0" borderId="0" xfId="0" applyFont="1" applyAlignment="1">
      <alignment horizontal="center" vertical="center" wrapText="1"/>
    </xf>
    <xf numFmtId="0" fontId="0" fillId="0" borderId="0" xfId="0" applyAlignment="1">
      <alignment vertical="center" wrapText="1"/>
    </xf>
    <xf numFmtId="7" fontId="38" fillId="0" borderId="0" xfId="0" applyNumberFormat="1" applyFont="1" applyBorder="1" applyAlignment="1">
      <alignment horizontal="center" wrapText="1"/>
    </xf>
    <xf numFmtId="7" fontId="38" fillId="0" borderId="16" xfId="0" applyNumberFormat="1" applyFont="1" applyBorder="1" applyAlignment="1">
      <alignment horizontal="center" wrapText="1"/>
    </xf>
    <xf numFmtId="7" fontId="14" fillId="13" borderId="12" xfId="44" applyNumberFormat="1" applyFont="1" applyFill="1" applyBorder="1" applyAlignment="1">
      <alignment horizontal="center" wrapText="1"/>
    </xf>
    <xf numFmtId="44" fontId="14" fillId="13" borderId="22" xfId="44" applyFont="1" applyFill="1" applyBorder="1" applyAlignment="1">
      <alignment horizontal="center" wrapText="1"/>
    </xf>
    <xf numFmtId="166" fontId="37" fillId="0" borderId="12" xfId="0" applyNumberFormat="1" applyFont="1" applyBorder="1" applyAlignment="1">
      <alignment horizontal="center" vertical="center"/>
    </xf>
    <xf numFmtId="0" fontId="37" fillId="0" borderId="22" xfId="0" applyFont="1" applyBorder="1" applyAlignment="1">
      <alignment horizontal="center" vertical="center"/>
    </xf>
    <xf numFmtId="0" fontId="36"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4" fillId="0" borderId="23" xfId="0" applyFont="1" applyBorder="1" applyAlignment="1">
      <alignment horizontal="center" vertical="center" wrapText="1"/>
    </xf>
    <xf numFmtId="0" fontId="0" fillId="0" borderId="23" xfId="0" applyBorder="1" applyAlignment="1">
      <alignment horizontal="center" vertical="center" wrapText="1"/>
    </xf>
    <xf numFmtId="0" fontId="37" fillId="0" borderId="0"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7" fontId="38" fillId="0" borderId="17" xfId="0" applyNumberFormat="1" applyFont="1" applyBorder="1" applyAlignment="1">
      <alignment horizontal="center" vertical="center" wrapText="1"/>
    </xf>
    <xf numFmtId="0" fontId="34" fillId="0" borderId="0" xfId="0" applyFont="1" applyAlignment="1">
      <alignment horizontal="center" vertical="center" wrapText="1"/>
    </xf>
    <xf numFmtId="0" fontId="14" fillId="0" borderId="0" xfId="0" applyFont="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36" fillId="0" borderId="17" xfId="0" applyFont="1" applyBorder="1" applyAlignment="1">
      <alignment horizontal="center" wrapText="1"/>
    </xf>
    <xf numFmtId="0" fontId="39" fillId="0" borderId="0" xfId="0" applyFont="1" applyAlignment="1">
      <alignment horizontal="center" wrapText="1"/>
    </xf>
    <xf numFmtId="0" fontId="14" fillId="0" borderId="18" xfId="0" applyFont="1" applyBorder="1" applyAlignment="1">
      <alignment horizontal="center" vertical="center" wrapText="1"/>
    </xf>
    <xf numFmtId="0" fontId="0" fillId="0" borderId="12" xfId="0" applyBorder="1" applyAlignment="1">
      <alignment horizontal="center" vertical="center" wrapText="1"/>
    </xf>
    <xf numFmtId="0" fontId="14" fillId="0" borderId="12" xfId="0" applyFont="1" applyBorder="1" applyAlignment="1">
      <alignment horizontal="center" vertical="center" wrapText="1"/>
    </xf>
    <xf numFmtId="0" fontId="0" fillId="0" borderId="22" xfId="0" applyBorder="1" applyAlignment="1">
      <alignment horizontal="center" vertical="center" wrapText="1"/>
    </xf>
    <xf numFmtId="0" fontId="39" fillId="0" borderId="12" xfId="0" applyFont="1" applyBorder="1" applyAlignment="1">
      <alignment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left" vertical="center" wrapText="1"/>
    </xf>
    <xf numFmtId="2" fontId="1" fillId="0" borderId="17"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8" fillId="0" borderId="17"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36" fillId="0" borderId="13" xfId="0" applyFont="1" applyBorder="1" applyAlignment="1">
      <alignment horizontal="center" wrapText="1"/>
    </xf>
    <xf numFmtId="0" fontId="36" fillId="0" borderId="14" xfId="0" applyFont="1" applyBorder="1" applyAlignment="1">
      <alignment horizontal="center" wrapText="1"/>
    </xf>
    <xf numFmtId="0" fontId="39" fillId="0" borderId="14" xfId="0" applyFont="1" applyBorder="1" applyAlignment="1">
      <alignment horizontal="center" wrapText="1"/>
    </xf>
    <xf numFmtId="0" fontId="36" fillId="0" borderId="14" xfId="0" applyFont="1" applyBorder="1" applyAlignment="1">
      <alignment horizontal="center"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4" fillId="0" borderId="17"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2" fontId="14" fillId="0" borderId="17" xfId="0" applyNumberFormat="1" applyFont="1" applyBorder="1" applyAlignment="1">
      <alignment horizontal="left" vertical="center" wrapText="1"/>
    </xf>
    <xf numFmtId="0" fontId="34" fillId="0" borderId="16" xfId="0" applyFont="1" applyBorder="1" applyAlignment="1">
      <alignment horizontal="left" vertical="center" wrapText="1"/>
    </xf>
    <xf numFmtId="1" fontId="14" fillId="0" borderId="17" xfId="0" applyNumberFormat="1" applyFont="1" applyBorder="1" applyAlignment="1">
      <alignment horizontal="left" vertical="center" wrapText="1"/>
    </xf>
    <xf numFmtId="0" fontId="14" fillId="0" borderId="0" xfId="0" applyFont="1" applyAlignment="1">
      <alignment horizontal="left" vertical="center" wrapText="1"/>
    </xf>
    <xf numFmtId="0" fontId="14" fillId="0" borderId="17" xfId="0" applyFont="1" applyFill="1" applyBorder="1" applyAlignment="1" applyProtection="1">
      <alignment horizontal="left" vertical="center" wrapText="1"/>
      <protection locked="0"/>
    </xf>
    <xf numFmtId="0" fontId="34"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16"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1" fontId="14" fillId="0" borderId="13" xfId="0" applyNumberFormat="1" applyFont="1" applyBorder="1" applyAlignment="1">
      <alignment horizontal="left" vertical="center" wrapText="1"/>
    </xf>
    <xf numFmtId="0" fontId="34" fillId="0" borderId="15" xfId="0" applyFont="1" applyBorder="1" applyAlignment="1">
      <alignment horizontal="left" vertical="center" wrapText="1"/>
    </xf>
    <xf numFmtId="0" fontId="44" fillId="0" borderId="14" xfId="0" applyFont="1" applyBorder="1" applyAlignment="1">
      <alignment horizontal="left" vertical="center" wrapText="1"/>
    </xf>
    <xf numFmtId="0" fontId="40" fillId="0" borderId="15" xfId="0" applyFont="1" applyBorder="1" applyAlignment="1">
      <alignment horizontal="left" vertical="center" wrapText="1"/>
    </xf>
    <xf numFmtId="0" fontId="36"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0" fillId="0" borderId="0" xfId="0" applyFont="1" applyAlignment="1">
      <alignment wrapText="1"/>
    </xf>
    <xf numFmtId="0" fontId="0" fillId="0" borderId="12" xfId="0" applyFont="1" applyBorder="1" applyAlignment="1">
      <alignment wrapText="1"/>
    </xf>
    <xf numFmtId="0" fontId="35" fillId="0" borderId="21" xfId="0" applyFont="1" applyBorder="1" applyAlignment="1">
      <alignment horizontal="center" vertical="center"/>
    </xf>
    <xf numFmtId="0" fontId="43" fillId="0" borderId="19" xfId="0" applyFont="1" applyBorder="1" applyAlignment="1">
      <alignment/>
    </xf>
    <xf numFmtId="0" fontId="43" fillId="0" borderId="20" xfId="0" applyFont="1" applyBorder="1" applyAlignment="1">
      <alignment/>
    </xf>
    <xf numFmtId="0" fontId="35" fillId="0" borderId="21"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86" fillId="0" borderId="0" xfId="0" applyFont="1" applyAlignment="1">
      <alignment vertical="center" wrapText="1"/>
    </xf>
    <xf numFmtId="0" fontId="87" fillId="0" borderId="0" xfId="0" applyFont="1" applyAlignment="1">
      <alignment vertical="center" wrapText="1"/>
    </xf>
    <xf numFmtId="0" fontId="88" fillId="0" borderId="0" xfId="0" applyFont="1" applyAlignment="1">
      <alignment wrapText="1"/>
    </xf>
    <xf numFmtId="0" fontId="52" fillId="0" borderId="12" xfId="0" applyFont="1" applyBorder="1" applyAlignment="1">
      <alignment horizontal="center" vertical="center" wrapText="1"/>
    </xf>
    <xf numFmtId="0" fontId="52" fillId="0" borderId="0" xfId="0" applyFont="1" applyAlignment="1">
      <alignment horizontal="center" vertical="center"/>
    </xf>
    <xf numFmtId="0" fontId="53" fillId="0" borderId="0" xfId="0" applyFont="1" applyAlignment="1">
      <alignment/>
    </xf>
    <xf numFmtId="0" fontId="54" fillId="0" borderId="12" xfId="0" applyFont="1" applyBorder="1" applyAlignment="1">
      <alignment horizontal="left" vertical="center" wrapText="1"/>
    </xf>
    <xf numFmtId="0" fontId="36" fillId="0" borderId="0" xfId="0" applyFont="1" applyAlignment="1">
      <alignment horizontal="center" vertical="center" wrapText="1"/>
    </xf>
    <xf numFmtId="0" fontId="54" fillId="0" borderId="0" xfId="0" applyFont="1" applyBorder="1" applyAlignment="1">
      <alignment vertical="center" wrapText="1"/>
    </xf>
    <xf numFmtId="0" fontId="55" fillId="0" borderId="0" xfId="0" applyFont="1" applyAlignment="1">
      <alignment wrapText="1"/>
    </xf>
    <xf numFmtId="0" fontId="14" fillId="0" borderId="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7" fontId="38" fillId="0" borderId="0" xfId="0" applyNumberFormat="1" applyFont="1" applyBorder="1" applyAlignment="1">
      <alignment horizontal="center" vertical="center" wrapText="1"/>
    </xf>
    <xf numFmtId="7" fontId="38" fillId="0" borderId="16" xfId="0" applyNumberFormat="1" applyFont="1" applyBorder="1" applyAlignment="1">
      <alignment horizontal="center" vertical="center" wrapText="1"/>
    </xf>
    <xf numFmtId="0" fontId="36" fillId="0" borderId="15" xfId="0" applyFont="1" applyBorder="1" applyAlignment="1">
      <alignment horizontal="center" vertical="center"/>
    </xf>
    <xf numFmtId="0" fontId="34" fillId="0" borderId="13" xfId="0" applyFont="1" applyBorder="1" applyAlignment="1">
      <alignment wrapText="1"/>
    </xf>
    <xf numFmtId="0" fontId="34" fillId="0" borderId="14" xfId="0" applyFont="1" applyBorder="1" applyAlignment="1">
      <alignment wrapText="1"/>
    </xf>
    <xf numFmtId="0" fontId="34" fillId="0" borderId="15" xfId="0" applyFont="1" applyBorder="1" applyAlignment="1">
      <alignment wrapText="1"/>
    </xf>
    <xf numFmtId="0" fontId="34" fillId="0" borderId="1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0" xfId="0" applyFont="1" applyAlignment="1">
      <alignment/>
    </xf>
    <xf numFmtId="0" fontId="34" fillId="0" borderId="16" xfId="0" applyFont="1" applyBorder="1" applyAlignment="1">
      <alignment/>
    </xf>
    <xf numFmtId="0" fontId="37" fillId="0" borderId="17"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14" fillId="0" borderId="18" xfId="0" applyFont="1" applyBorder="1" applyAlignment="1">
      <alignment horizontal="left" vertical="center" wrapText="1"/>
    </xf>
    <xf numFmtId="0" fontId="14" fillId="0" borderId="12" xfId="0" applyFont="1" applyBorder="1" applyAlignment="1">
      <alignment horizontal="left" vertical="center" wrapText="1"/>
    </xf>
    <xf numFmtId="0" fontId="14" fillId="0" borderId="22" xfId="0" applyFont="1" applyBorder="1" applyAlignment="1">
      <alignment horizontal="left" vertical="center" wrapText="1"/>
    </xf>
    <xf numFmtId="0" fontId="34" fillId="0" borderId="12" xfId="0" applyFont="1" applyBorder="1" applyAlignment="1">
      <alignment/>
    </xf>
    <xf numFmtId="0" fontId="34" fillId="0" borderId="22" xfId="0" applyFont="1" applyBorder="1" applyAlignment="1">
      <alignment/>
    </xf>
    <xf numFmtId="2" fontId="14" fillId="0" borderId="16" xfId="0" applyNumberFormat="1" applyFont="1" applyBorder="1" applyAlignment="1">
      <alignment horizontal="left" vertical="center" wrapText="1"/>
    </xf>
    <xf numFmtId="1" fontId="14" fillId="0" borderId="16" xfId="0" applyNumberFormat="1" applyFont="1" applyBorder="1" applyAlignment="1">
      <alignment horizontal="left" vertical="center" wrapText="1"/>
    </xf>
    <xf numFmtId="0" fontId="34" fillId="0" borderId="0" xfId="0" applyFont="1" applyAlignment="1">
      <alignment vertical="center" wrapText="1"/>
    </xf>
    <xf numFmtId="0" fontId="34" fillId="0" borderId="16" xfId="0" applyFont="1" applyBorder="1" applyAlignment="1">
      <alignment vertical="center" wrapText="1"/>
    </xf>
    <xf numFmtId="0" fontId="37" fillId="0" borderId="17" xfId="0" applyFont="1" applyFill="1" applyBorder="1" applyAlignment="1" applyProtection="1">
      <alignment horizontal="left" vertical="center" wrapText="1"/>
      <protection locked="0"/>
    </xf>
    <xf numFmtId="0" fontId="81" fillId="0" borderId="13" xfId="54" applyFont="1" applyBorder="1" applyAlignment="1" applyProtection="1">
      <alignment horizontal="left" vertical="center" wrapText="1"/>
      <protection/>
    </xf>
    <xf numFmtId="0" fontId="81" fillId="0" borderId="14" xfId="54" applyFont="1" applyBorder="1" applyAlignment="1" applyProtection="1">
      <alignment horizontal="left" vertical="center" wrapText="1"/>
      <protection/>
    </xf>
    <xf numFmtId="0" fontId="81" fillId="0" borderId="15" xfId="54" applyFont="1" applyBorder="1" applyAlignment="1" applyProtection="1">
      <alignment horizontal="left" vertical="center" wrapText="1"/>
      <protection/>
    </xf>
    <xf numFmtId="0" fontId="34" fillId="0" borderId="14" xfId="0" applyFont="1" applyBorder="1" applyAlignment="1">
      <alignment/>
    </xf>
    <xf numFmtId="0" fontId="34" fillId="0" borderId="15" xfId="0" applyFont="1" applyBorder="1" applyAlignment="1">
      <alignment/>
    </xf>
    <xf numFmtId="0" fontId="81" fillId="0" borderId="17" xfId="54" applyFont="1" applyBorder="1" applyAlignment="1" applyProtection="1">
      <alignment horizontal="left" vertical="center" wrapText="1"/>
      <protection/>
    </xf>
    <xf numFmtId="0" fontId="81" fillId="0" borderId="0" xfId="54" applyFont="1" applyBorder="1" applyAlignment="1" applyProtection="1">
      <alignment horizontal="left" vertical="center" wrapText="1"/>
      <protection/>
    </xf>
    <xf numFmtId="0" fontId="81" fillId="0" borderId="16" xfId="54" applyFont="1" applyBorder="1" applyAlignment="1" applyProtection="1">
      <alignment horizontal="left" vertical="center" wrapText="1"/>
      <protection/>
    </xf>
    <xf numFmtId="0" fontId="14" fillId="0" borderId="0" xfId="0" applyFont="1" applyBorder="1" applyAlignment="1">
      <alignment vertical="center" wrapText="1"/>
    </xf>
    <xf numFmtId="0" fontId="34" fillId="0" borderId="0" xfId="0" applyFont="1" applyAlignment="1">
      <alignment wrapText="1"/>
    </xf>
    <xf numFmtId="0" fontId="34" fillId="0" borderId="12" xfId="0" applyFont="1" applyBorder="1" applyAlignment="1">
      <alignment wrapText="1"/>
    </xf>
    <xf numFmtId="0" fontId="14" fillId="0" borderId="0" xfId="0" applyFont="1" applyAlignment="1">
      <alignment horizontal="center" vertical="center" wrapText="1"/>
    </xf>
    <xf numFmtId="0" fontId="0" fillId="0" borderId="28" xfId="0" applyBorder="1" applyAlignment="1">
      <alignment wrapText="1"/>
    </xf>
    <xf numFmtId="0" fontId="34" fillId="0" borderId="29" xfId="0" applyFont="1" applyBorder="1" applyAlignment="1">
      <alignment horizontal="center" vertical="center" wrapText="1"/>
    </xf>
    <xf numFmtId="0" fontId="0" fillId="0" borderId="30" xfId="0" applyBorder="1" applyAlignment="1">
      <alignment wrapText="1"/>
    </xf>
    <xf numFmtId="0" fontId="34" fillId="0" borderId="31" xfId="0" applyFont="1" applyBorder="1" applyAlignment="1">
      <alignment horizontal="center" vertical="center" wrapText="1"/>
    </xf>
    <xf numFmtId="0" fontId="0" fillId="0" borderId="32" xfId="0" applyBorder="1" applyAlignment="1">
      <alignment wrapText="1"/>
    </xf>
    <xf numFmtId="0" fontId="0" fillId="0" borderId="23" xfId="0" applyBorder="1" applyAlignment="1">
      <alignment wrapText="1"/>
    </xf>
    <xf numFmtId="0" fontId="34" fillId="0" borderId="26" xfId="0" applyFont="1" applyBorder="1" applyAlignment="1">
      <alignment horizontal="center" vertical="center" wrapText="1"/>
    </xf>
    <xf numFmtId="12" fontId="14" fillId="0" borderId="33" xfId="0" applyNumberFormat="1" applyFont="1" applyBorder="1" applyAlignment="1">
      <alignment horizontal="center" vertical="center" wrapText="1"/>
    </xf>
    <xf numFmtId="0" fontId="0" fillId="0" borderId="33" xfId="0" applyBorder="1" applyAlignment="1">
      <alignment horizontal="center" vertical="center" wrapText="1"/>
    </xf>
    <xf numFmtId="12" fontId="14" fillId="0" borderId="0" xfId="0" applyNumberFormat="1" applyFont="1" applyBorder="1" applyAlignment="1">
      <alignment horizontal="center" vertical="center" wrapText="1"/>
    </xf>
    <xf numFmtId="0" fontId="36" fillId="0" borderId="14" xfId="0" applyFont="1" applyBorder="1" applyAlignment="1">
      <alignment vertical="center" wrapText="1"/>
    </xf>
    <xf numFmtId="0" fontId="13" fillId="0" borderId="14" xfId="0" applyFont="1" applyBorder="1" applyAlignment="1">
      <alignment vertical="center" wrapText="1"/>
    </xf>
    <xf numFmtId="0" fontId="13" fillId="0" borderId="12" xfId="0" applyFont="1" applyBorder="1" applyAlignment="1">
      <alignment vertical="center" wrapText="1"/>
    </xf>
    <xf numFmtId="0" fontId="36" fillId="0" borderId="0" xfId="0" applyFont="1" applyBorder="1" applyAlignment="1">
      <alignment vertical="center" wrapText="1"/>
    </xf>
    <xf numFmtId="0" fontId="39" fillId="0" borderId="0" xfId="0" applyFont="1" applyAlignment="1">
      <alignment wrapText="1"/>
    </xf>
    <xf numFmtId="0" fontId="41" fillId="0" borderId="17" xfId="0" applyFont="1" applyBorder="1" applyAlignment="1">
      <alignment horizontal="center" wrapText="1"/>
    </xf>
    <xf numFmtId="0" fontId="34" fillId="0" borderId="0" xfId="0" applyFont="1" applyAlignment="1">
      <alignment horizontal="center" wrapText="1"/>
    </xf>
    <xf numFmtId="7" fontId="32" fillId="0" borderId="17" xfId="0" applyNumberFormat="1" applyFont="1" applyBorder="1" applyAlignment="1">
      <alignment horizontal="center" vertical="center" wrapText="1"/>
    </xf>
    <xf numFmtId="0" fontId="39" fillId="0" borderId="0" xfId="0" applyFont="1" applyAlignment="1">
      <alignment horizontal="center" vertical="center" wrapText="1"/>
    </xf>
    <xf numFmtId="0" fontId="0" fillId="0" borderId="0" xfId="0" applyAlignment="1">
      <alignment horizontal="left" vertical="center" wrapText="1"/>
    </xf>
    <xf numFmtId="0" fontId="72" fillId="0" borderId="17" xfId="54" applyBorder="1" applyAlignment="1" applyProtection="1">
      <alignment horizontal="left" vertical="center" wrapText="1"/>
      <protection/>
    </xf>
    <xf numFmtId="0" fontId="72" fillId="0" borderId="0" xfId="54" applyBorder="1" applyAlignment="1" applyProtection="1">
      <alignment horizontal="left" vertical="center" wrapText="1"/>
      <protection/>
    </xf>
    <xf numFmtId="0" fontId="72" fillId="0" borderId="16" xfId="54" applyBorder="1" applyAlignment="1" applyProtection="1">
      <alignment horizontal="left" vertical="center" wrapText="1"/>
      <protection/>
    </xf>
    <xf numFmtId="12" fontId="14" fillId="0" borderId="0" xfId="0" applyNumberFormat="1" applyFont="1" applyBorder="1" applyAlignment="1">
      <alignment horizontal="right"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0" xfId="0" applyFont="1" applyBorder="1" applyAlignment="1">
      <alignment/>
    </xf>
    <xf numFmtId="0" fontId="34" fillId="0" borderId="0" xfId="0" applyFont="1" applyBorder="1" applyAlignment="1">
      <alignment vertical="center" wrapText="1"/>
    </xf>
    <xf numFmtId="0" fontId="14" fillId="0" borderId="0" xfId="0" applyFont="1" applyFill="1" applyBorder="1" applyAlignment="1" applyProtection="1">
      <alignment horizontal="left" vertical="center" wrapText="1"/>
      <protection locked="0"/>
    </xf>
    <xf numFmtId="0" fontId="14" fillId="0" borderId="18" xfId="0" applyFont="1" applyBorder="1" applyAlignment="1">
      <alignment vertical="center" wrapText="1"/>
    </xf>
    <xf numFmtId="0" fontId="1" fillId="0" borderId="22" xfId="0" applyFont="1" applyBorder="1" applyAlignment="1">
      <alignment vertical="center" wrapText="1"/>
    </xf>
    <xf numFmtId="0" fontId="34" fillId="0" borderId="0" xfId="0" applyFont="1" applyBorder="1" applyAlignment="1">
      <alignment wrapText="1"/>
    </xf>
    <xf numFmtId="0" fontId="34" fillId="0" borderId="16" xfId="0" applyFont="1" applyBorder="1" applyAlignment="1">
      <alignment wrapText="1"/>
    </xf>
    <xf numFmtId="0" fontId="14" fillId="0" borderId="13" xfId="0" applyFont="1" applyBorder="1" applyAlignment="1">
      <alignment horizontal="center" vertical="center"/>
    </xf>
    <xf numFmtId="0" fontId="14" fillId="0" borderId="13" xfId="0" applyFont="1" applyBorder="1" applyAlignment="1">
      <alignment horizontal="center" wrapText="1"/>
    </xf>
    <xf numFmtId="0" fontId="14" fillId="0" borderId="14" xfId="0" applyFont="1" applyBorder="1" applyAlignment="1">
      <alignment horizontal="center" wrapText="1"/>
    </xf>
    <xf numFmtId="0" fontId="34" fillId="0" borderId="14" xfId="0" applyFont="1" applyBorder="1" applyAlignment="1">
      <alignment horizontal="center" wrapText="1"/>
    </xf>
    <xf numFmtId="0" fontId="14" fillId="0" borderId="14" xfId="0" applyFont="1" applyBorder="1" applyAlignment="1">
      <alignment horizontal="center" vertical="center" wrapText="1"/>
    </xf>
    <xf numFmtId="0" fontId="34" fillId="0" borderId="19" xfId="0" applyFont="1" applyBorder="1" applyAlignment="1">
      <alignment/>
    </xf>
    <xf numFmtId="0" fontId="34" fillId="0" borderId="20" xfId="0" applyFont="1" applyBorder="1" applyAlignment="1">
      <alignment/>
    </xf>
    <xf numFmtId="0" fontId="1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9" xfId="0" applyFont="1" applyBorder="1" applyAlignment="1">
      <alignment horizontal="center" vertical="center" wrapText="1"/>
    </xf>
    <xf numFmtId="0" fontId="37" fillId="0" borderId="21" xfId="0" applyFont="1" applyBorder="1" applyAlignment="1">
      <alignment horizontal="center" vertical="center"/>
    </xf>
    <xf numFmtId="0" fontId="37" fillId="0" borderId="19" xfId="0" applyFont="1" applyBorder="1" applyAlignment="1">
      <alignment horizontal="center" vertical="center"/>
    </xf>
    <xf numFmtId="0" fontId="52" fillId="0" borderId="0" xfId="0" applyFont="1" applyAlignment="1">
      <alignment horizontal="center" vertical="center" wrapText="1"/>
    </xf>
    <xf numFmtId="0" fontId="56" fillId="0" borderId="0" xfId="0" applyFont="1" applyAlignment="1">
      <alignment horizontal="center" vertical="center"/>
    </xf>
    <xf numFmtId="0" fontId="57" fillId="0" borderId="0" xfId="0" applyFont="1" applyAlignment="1">
      <alignment/>
    </xf>
    <xf numFmtId="0" fontId="40" fillId="0" borderId="14" xfId="0" applyFont="1" applyBorder="1" applyAlignment="1">
      <alignment/>
    </xf>
    <xf numFmtId="0" fontId="40" fillId="0" borderId="15" xfId="0" applyFont="1" applyBorder="1" applyAlignment="1">
      <alignment/>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15"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7</xdr:row>
      <xdr:rowOff>95250</xdr:rowOff>
    </xdr:from>
    <xdr:to>
      <xdr:col>4</xdr:col>
      <xdr:colOff>428625</xdr:colOff>
      <xdr:row>15</xdr:row>
      <xdr:rowOff>228600</xdr:rowOff>
    </xdr:to>
    <xdr:sp>
      <xdr:nvSpPr>
        <xdr:cNvPr id="1" name="Right Brace 1"/>
        <xdr:cNvSpPr>
          <a:spLocks/>
        </xdr:cNvSpPr>
      </xdr:nvSpPr>
      <xdr:spPr>
        <a:xfrm>
          <a:off x="2619375" y="2867025"/>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7</xdr:row>
      <xdr:rowOff>85725</xdr:rowOff>
    </xdr:from>
    <xdr:to>
      <xdr:col>6</xdr:col>
      <xdr:colOff>704850</xdr:colOff>
      <xdr:row>15</xdr:row>
      <xdr:rowOff>219075</xdr:rowOff>
    </xdr:to>
    <xdr:sp>
      <xdr:nvSpPr>
        <xdr:cNvPr id="2" name="Right Brace 2"/>
        <xdr:cNvSpPr>
          <a:spLocks/>
        </xdr:cNvSpPr>
      </xdr:nvSpPr>
      <xdr:spPr>
        <a:xfrm>
          <a:off x="4162425" y="2857500"/>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514350</xdr:colOff>
      <xdr:row>3</xdr:row>
      <xdr:rowOff>57150</xdr:rowOff>
    </xdr:from>
    <xdr:ext cx="1800225" cy="247650"/>
    <xdr:sp>
      <xdr:nvSpPr>
        <xdr:cNvPr id="3" name="TextBox 3"/>
        <xdr:cNvSpPr txBox="1">
          <a:spLocks noChangeArrowheads="1"/>
        </xdr:cNvSpPr>
      </xdr:nvSpPr>
      <xdr:spPr>
        <a:xfrm>
          <a:off x="2952750" y="1381125"/>
          <a:ext cx="1800225" cy="247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Name of the Menu Item</a:t>
          </a:r>
        </a:p>
      </xdr:txBody>
    </xdr:sp>
    <xdr:clientData/>
  </xdr:oneCellAnchor>
  <xdr:oneCellAnchor>
    <xdr:from>
      <xdr:col>8</xdr:col>
      <xdr:colOff>476250</xdr:colOff>
      <xdr:row>3</xdr:row>
      <xdr:rowOff>371475</xdr:rowOff>
    </xdr:from>
    <xdr:ext cx="1800225" cy="514350"/>
    <xdr:sp>
      <xdr:nvSpPr>
        <xdr:cNvPr id="4" name="TextBox 4"/>
        <xdr:cNvSpPr txBox="1">
          <a:spLocks noChangeArrowheads="1"/>
        </xdr:cNvSpPr>
      </xdr:nvSpPr>
      <xdr:spPr>
        <a:xfrm>
          <a:off x="5238750" y="1695450"/>
          <a:ext cx="1800225" cy="5143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How</a:t>
          </a:r>
          <a:r>
            <a:rPr lang="en-US" cap="none" sz="1100" b="0" i="0" u="none" baseline="0">
              <a:solidFill>
                <a:srgbClr val="FF0000"/>
              </a:solidFill>
              <a:latin typeface="Calibri"/>
              <a:ea typeface="Calibri"/>
              <a:cs typeface="Calibri"/>
            </a:rPr>
            <a:t> many guests you need to serve. </a:t>
          </a:r>
        </a:p>
      </xdr:txBody>
    </xdr:sp>
    <xdr:clientData/>
  </xdr:oneCellAnchor>
  <xdr:twoCellAnchor>
    <xdr:from>
      <xdr:col>4</xdr:col>
      <xdr:colOff>95250</xdr:colOff>
      <xdr:row>3</xdr:row>
      <xdr:rowOff>57150</xdr:rowOff>
    </xdr:from>
    <xdr:to>
      <xdr:col>4</xdr:col>
      <xdr:colOff>542925</xdr:colOff>
      <xdr:row>3</xdr:row>
      <xdr:rowOff>180975</xdr:rowOff>
    </xdr:to>
    <xdr:sp>
      <xdr:nvSpPr>
        <xdr:cNvPr id="5" name="Straight Arrow Connector 5"/>
        <xdr:cNvSpPr>
          <a:spLocks/>
        </xdr:cNvSpPr>
      </xdr:nvSpPr>
      <xdr:spPr>
        <a:xfrm flipH="1">
          <a:off x="2533650" y="1381125"/>
          <a:ext cx="447675" cy="123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3</xdr:row>
      <xdr:rowOff>57150</xdr:rowOff>
    </xdr:from>
    <xdr:to>
      <xdr:col>9</xdr:col>
      <xdr:colOff>276225</xdr:colOff>
      <xdr:row>3</xdr:row>
      <xdr:rowOff>352425</xdr:rowOff>
    </xdr:to>
    <xdr:sp>
      <xdr:nvSpPr>
        <xdr:cNvPr id="6" name="Straight Arrow Connector 6"/>
        <xdr:cNvSpPr>
          <a:spLocks/>
        </xdr:cNvSpPr>
      </xdr:nvSpPr>
      <xdr:spPr>
        <a:xfrm flipV="1">
          <a:off x="5267325" y="1381125"/>
          <a:ext cx="34290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95250</xdr:colOff>
      <xdr:row>3</xdr:row>
      <xdr:rowOff>38100</xdr:rowOff>
    </xdr:from>
    <xdr:ext cx="1514475" cy="209550"/>
    <xdr:sp>
      <xdr:nvSpPr>
        <xdr:cNvPr id="7" name="TextBox 7"/>
        <xdr:cNvSpPr txBox="1">
          <a:spLocks noChangeArrowheads="1"/>
        </xdr:cNvSpPr>
      </xdr:nvSpPr>
      <xdr:spPr>
        <a:xfrm>
          <a:off x="7572375" y="1362075"/>
          <a:ext cx="1514475" cy="2095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Serving Size</a:t>
          </a:r>
          <a:r>
            <a:rPr lang="en-US" cap="none" sz="1100" b="0" i="0" u="none" baseline="0">
              <a:solidFill>
                <a:srgbClr val="FF0000"/>
              </a:solidFill>
              <a:latin typeface="Calibri"/>
              <a:ea typeface="Calibri"/>
              <a:cs typeface="Calibri"/>
            </a:rPr>
            <a:t> per guest. </a:t>
          </a:r>
        </a:p>
      </xdr:txBody>
    </xdr:sp>
    <xdr:clientData/>
  </xdr:oneCellAnchor>
  <xdr:twoCellAnchor>
    <xdr:from>
      <xdr:col>11</xdr:col>
      <xdr:colOff>542925</xdr:colOff>
      <xdr:row>3</xdr:row>
      <xdr:rowOff>9525</xdr:rowOff>
    </xdr:from>
    <xdr:to>
      <xdr:col>12</xdr:col>
      <xdr:colOff>133350</xdr:colOff>
      <xdr:row>3</xdr:row>
      <xdr:rowOff>209550</xdr:rowOff>
    </xdr:to>
    <xdr:sp>
      <xdr:nvSpPr>
        <xdr:cNvPr id="8" name="Straight Arrow Connector 8"/>
        <xdr:cNvSpPr>
          <a:spLocks/>
        </xdr:cNvSpPr>
      </xdr:nvSpPr>
      <xdr:spPr>
        <a:xfrm flipH="1">
          <a:off x="7105650" y="1333500"/>
          <a:ext cx="5048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209550</xdr:colOff>
      <xdr:row>17</xdr:row>
      <xdr:rowOff>104775</xdr:rowOff>
    </xdr:from>
    <xdr:ext cx="1247775" cy="257175"/>
    <xdr:sp>
      <xdr:nvSpPr>
        <xdr:cNvPr id="9" name="TextBox 9"/>
        <xdr:cNvSpPr txBox="1">
          <a:spLocks noChangeArrowheads="1"/>
        </xdr:cNvSpPr>
      </xdr:nvSpPr>
      <xdr:spPr>
        <a:xfrm>
          <a:off x="771525" y="5257800"/>
          <a:ext cx="1247775" cy="2571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List of Ingredients</a:t>
          </a:r>
        </a:p>
      </xdr:txBody>
    </xdr:sp>
    <xdr:clientData/>
  </xdr:oneCellAnchor>
  <xdr:oneCellAnchor>
    <xdr:from>
      <xdr:col>4</xdr:col>
      <xdr:colOff>409575</xdr:colOff>
      <xdr:row>16</xdr:row>
      <xdr:rowOff>228600</xdr:rowOff>
    </xdr:from>
    <xdr:ext cx="1800225" cy="933450"/>
    <xdr:sp>
      <xdr:nvSpPr>
        <xdr:cNvPr id="10" name="TextBox 10"/>
        <xdr:cNvSpPr txBox="1">
          <a:spLocks noChangeArrowheads="1"/>
        </xdr:cNvSpPr>
      </xdr:nvSpPr>
      <xdr:spPr>
        <a:xfrm>
          <a:off x="2847975" y="5143500"/>
          <a:ext cx="1800225" cy="9334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Required to Quantity  for each ingredient </a:t>
          </a:r>
          <a:r>
            <a:rPr lang="en-US" cap="none" sz="1100" b="0" i="0" u="none" baseline="0">
              <a:solidFill>
                <a:srgbClr val="FF0000"/>
              </a:solidFill>
              <a:latin typeface="Calibri"/>
              <a:ea typeface="Calibri"/>
              <a:cs typeface="Calibri"/>
            </a:rPr>
            <a:t> to serve the Yield Portion size indicated #1 .  </a:t>
          </a:r>
        </a:p>
      </xdr:txBody>
    </xdr:sp>
    <xdr:clientData/>
  </xdr:oneCellAnchor>
  <xdr:oneCellAnchor>
    <xdr:from>
      <xdr:col>12</xdr:col>
      <xdr:colOff>161925</xdr:colOff>
      <xdr:row>13</xdr:row>
      <xdr:rowOff>95250</xdr:rowOff>
    </xdr:from>
    <xdr:ext cx="1800225" cy="361950"/>
    <xdr:sp>
      <xdr:nvSpPr>
        <xdr:cNvPr id="11" name="TextBox 11"/>
        <xdr:cNvSpPr txBox="1">
          <a:spLocks noChangeArrowheads="1"/>
        </xdr:cNvSpPr>
      </xdr:nvSpPr>
      <xdr:spPr>
        <a:xfrm>
          <a:off x="7639050" y="4295775"/>
          <a:ext cx="1800225" cy="3619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Preparation Instructions</a:t>
          </a:r>
        </a:p>
      </xdr:txBody>
    </xdr:sp>
    <xdr:clientData/>
  </xdr:oneCellAnchor>
  <xdr:twoCellAnchor>
    <xdr:from>
      <xdr:col>3</xdr:col>
      <xdr:colOff>200025</xdr:colOff>
      <xdr:row>11</xdr:row>
      <xdr:rowOff>200025</xdr:rowOff>
    </xdr:from>
    <xdr:to>
      <xdr:col>4</xdr:col>
      <xdr:colOff>323850</xdr:colOff>
      <xdr:row>17</xdr:row>
      <xdr:rowOff>95250</xdr:rowOff>
    </xdr:to>
    <xdr:sp>
      <xdr:nvSpPr>
        <xdr:cNvPr id="12" name="Straight Arrow Connector 12"/>
        <xdr:cNvSpPr>
          <a:spLocks/>
        </xdr:cNvSpPr>
      </xdr:nvSpPr>
      <xdr:spPr>
        <a:xfrm flipV="1">
          <a:off x="2028825" y="3924300"/>
          <a:ext cx="73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12</xdr:row>
      <xdr:rowOff>0</xdr:rowOff>
    </xdr:from>
    <xdr:to>
      <xdr:col>6</xdr:col>
      <xdr:colOff>533400</xdr:colOff>
      <xdr:row>16</xdr:row>
      <xdr:rowOff>200025</xdr:rowOff>
    </xdr:to>
    <xdr:sp>
      <xdr:nvSpPr>
        <xdr:cNvPr id="13" name="Straight Arrow Connector 13"/>
        <xdr:cNvSpPr>
          <a:spLocks/>
        </xdr:cNvSpPr>
      </xdr:nvSpPr>
      <xdr:spPr>
        <a:xfrm flipV="1">
          <a:off x="3438525" y="3962400"/>
          <a:ext cx="800100" cy="1152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16</xdr:col>
      <xdr:colOff>200025</xdr:colOff>
      <xdr:row>3</xdr:row>
      <xdr:rowOff>381000</xdr:rowOff>
    </xdr:from>
    <xdr:ext cx="3905250" cy="552450"/>
    <xdr:sp>
      <xdr:nvSpPr>
        <xdr:cNvPr id="14" name="TextBox 15"/>
        <xdr:cNvSpPr txBox="1">
          <a:spLocks noChangeArrowheads="1"/>
        </xdr:cNvSpPr>
      </xdr:nvSpPr>
      <xdr:spPr>
        <a:xfrm>
          <a:off x="10591800" y="1704975"/>
          <a:ext cx="3905250" cy="5524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"Recipe Quantity" </a:t>
          </a:r>
          <a:r>
            <a:rPr lang="en-US" cap="none" sz="1100" b="0" i="0" u="none" baseline="0">
              <a:solidFill>
                <a:srgbClr val="FF0000"/>
              </a:solidFill>
              <a:latin typeface="Calibri"/>
              <a:ea typeface="Calibri"/>
              <a:cs typeface="Calibri"/>
            </a:rPr>
            <a:t> will </a:t>
          </a:r>
          <a:r>
            <a:rPr lang="en-US" cap="none" sz="1100" b="0" i="0" u="none" baseline="0">
              <a:solidFill>
                <a:srgbClr val="FF0000"/>
              </a:solidFill>
              <a:latin typeface="Calibri"/>
              <a:ea typeface="Calibri"/>
              <a:cs typeface="Calibri"/>
            </a:rPr>
            <a:t>be calculated proper amount for each item </a:t>
          </a:r>
          <a:r>
            <a:rPr lang="en-US" cap="none" sz="1100" b="0" i="0" u="none" baseline="0">
              <a:solidFill>
                <a:srgbClr val="FF0000"/>
              </a:solidFill>
              <a:latin typeface="Calibri"/>
              <a:ea typeface="Calibri"/>
              <a:cs typeface="Calibri"/>
            </a:rPr>
            <a:t> based on the Yield Portion Size or serving size. </a:t>
          </a:r>
        </a:p>
      </xdr:txBody>
    </xdr:sp>
    <xdr:clientData/>
  </xdr:oneCellAnchor>
  <xdr:twoCellAnchor>
    <xdr:from>
      <xdr:col>20</xdr:col>
      <xdr:colOff>390525</xdr:colOff>
      <xdr:row>6</xdr:row>
      <xdr:rowOff>66675</xdr:rowOff>
    </xdr:from>
    <xdr:to>
      <xdr:col>21</xdr:col>
      <xdr:colOff>142875</xdr:colOff>
      <xdr:row>6</xdr:row>
      <xdr:rowOff>295275</xdr:rowOff>
    </xdr:to>
    <xdr:sp>
      <xdr:nvSpPr>
        <xdr:cNvPr id="15" name="Straight Arrow Connector 16"/>
        <xdr:cNvSpPr>
          <a:spLocks/>
        </xdr:cNvSpPr>
      </xdr:nvSpPr>
      <xdr:spPr>
        <a:xfrm>
          <a:off x="13325475" y="2200275"/>
          <a:ext cx="2571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495300</xdr:colOff>
      <xdr:row>3</xdr:row>
      <xdr:rowOff>304800</xdr:rowOff>
    </xdr:from>
    <xdr:to>
      <xdr:col>25</xdr:col>
      <xdr:colOff>209550</xdr:colOff>
      <xdr:row>6</xdr:row>
      <xdr:rowOff>266700</xdr:rowOff>
    </xdr:to>
    <xdr:sp>
      <xdr:nvSpPr>
        <xdr:cNvPr id="16" name="Straight Arrow Connector 17"/>
        <xdr:cNvSpPr>
          <a:spLocks/>
        </xdr:cNvSpPr>
      </xdr:nvSpPr>
      <xdr:spPr>
        <a:xfrm flipH="1">
          <a:off x="13935075" y="1628775"/>
          <a:ext cx="233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38100</xdr:colOff>
      <xdr:row>0</xdr:row>
      <xdr:rowOff>409575</xdr:rowOff>
    </xdr:from>
    <xdr:ext cx="2552700" cy="866775"/>
    <xdr:sp>
      <xdr:nvSpPr>
        <xdr:cNvPr id="17" name="TextBox 18"/>
        <xdr:cNvSpPr txBox="1">
          <a:spLocks noChangeArrowheads="1"/>
        </xdr:cNvSpPr>
      </xdr:nvSpPr>
      <xdr:spPr>
        <a:xfrm>
          <a:off x="7515225" y="409575"/>
          <a:ext cx="2552700" cy="866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If you change the Yield Portion Size at Recipe part,  the yield portion size at Cost Calculation part will be changed automatically.   </a:t>
          </a:r>
        </a:p>
      </xdr:txBody>
    </xdr:sp>
    <xdr:clientData/>
  </xdr:oneCellAnchor>
  <xdr:twoCellAnchor>
    <xdr:from>
      <xdr:col>9</xdr:col>
      <xdr:colOff>523875</xdr:colOff>
      <xdr:row>1</xdr:row>
      <xdr:rowOff>95250</xdr:rowOff>
    </xdr:from>
    <xdr:to>
      <xdr:col>12</xdr:col>
      <xdr:colOff>38100</xdr:colOff>
      <xdr:row>2</xdr:row>
      <xdr:rowOff>219075</xdr:rowOff>
    </xdr:to>
    <xdr:sp>
      <xdr:nvSpPr>
        <xdr:cNvPr id="18" name="Straight Arrow Connector 19"/>
        <xdr:cNvSpPr>
          <a:spLocks/>
        </xdr:cNvSpPr>
      </xdr:nvSpPr>
      <xdr:spPr>
        <a:xfrm flipH="1">
          <a:off x="5857875" y="847725"/>
          <a:ext cx="16573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1</xdr:row>
      <xdr:rowOff>28575</xdr:rowOff>
    </xdr:from>
    <xdr:to>
      <xdr:col>25</xdr:col>
      <xdr:colOff>209550</xdr:colOff>
      <xdr:row>3</xdr:row>
      <xdr:rowOff>228600</xdr:rowOff>
    </xdr:to>
    <xdr:sp>
      <xdr:nvSpPr>
        <xdr:cNvPr id="19" name="Straight Arrow Connector 20"/>
        <xdr:cNvSpPr>
          <a:spLocks/>
        </xdr:cNvSpPr>
      </xdr:nvSpPr>
      <xdr:spPr>
        <a:xfrm>
          <a:off x="10125075" y="781050"/>
          <a:ext cx="614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20</xdr:col>
      <xdr:colOff>104775</xdr:colOff>
      <xdr:row>18</xdr:row>
      <xdr:rowOff>19050</xdr:rowOff>
    </xdr:from>
    <xdr:ext cx="3924300" cy="923925"/>
    <xdr:sp>
      <xdr:nvSpPr>
        <xdr:cNvPr id="20" name="TextBox 21"/>
        <xdr:cNvSpPr txBox="1">
          <a:spLocks noChangeArrowheads="1"/>
        </xdr:cNvSpPr>
      </xdr:nvSpPr>
      <xdr:spPr>
        <a:xfrm>
          <a:off x="13039725" y="5410200"/>
          <a:ext cx="3924300" cy="9239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your </a:t>
          </a:r>
          <a:r>
            <a:rPr lang="en-US" cap="none" sz="1100" b="0" i="0" u="none" baseline="0">
              <a:solidFill>
                <a:srgbClr val="00CCFF"/>
              </a:solidFill>
              <a:latin typeface="Calibri"/>
              <a:ea typeface="Calibri"/>
              <a:cs typeface="Calibri"/>
            </a:rPr>
            <a:t>purchased weight </a:t>
          </a:r>
          <a:r>
            <a:rPr lang="en-US" cap="none" sz="1100" b="0" i="0" u="none" baseline="0">
              <a:solidFill>
                <a:srgbClr val="000000"/>
              </a:solidFill>
              <a:latin typeface="Calibri"/>
              <a:ea typeface="Calibri"/>
              <a:cs typeface="Calibri"/>
            </a:rPr>
            <a:t>is different than </a:t>
          </a:r>
          <a:r>
            <a:rPr lang="en-US" cap="none" sz="1100" b="0" i="0" u="none" baseline="0">
              <a:solidFill>
                <a:srgbClr val="FF0000"/>
              </a:solidFill>
              <a:latin typeface="Calibri"/>
              <a:ea typeface="Calibri"/>
              <a:cs typeface="Calibri"/>
            </a:rPr>
            <a:t>recipe</a:t>
          </a:r>
          <a:r>
            <a:rPr lang="en-US" cap="none" sz="1100" b="0" i="0" u="none" baseline="0">
              <a:solidFill>
                <a:srgbClr val="FF0000"/>
              </a:solidFill>
              <a:latin typeface="Calibri"/>
              <a:ea typeface="Calibri"/>
              <a:cs typeface="Calibri"/>
            </a:rPr>
            <a:t> quantity unit</a:t>
          </a:r>
          <a:r>
            <a:rPr lang="en-US" cap="none" sz="1100" b="0" i="0" u="none" baseline="0">
              <a:solidFill>
                <a:srgbClr val="000000"/>
              </a:solidFill>
              <a:latin typeface="Calibri"/>
              <a:ea typeface="Calibri"/>
              <a:cs typeface="Calibri"/>
            </a:rPr>
            <a:t>, you need to change the formula accordingly.  For example, your purchased weight is lb, but your recipe unit is oz.  Then you need to </a:t>
          </a:r>
          <a:r>
            <a:rPr lang="en-US" cap="none" sz="1100" b="0" i="0" u="sng" baseline="0">
              <a:solidFill>
                <a:srgbClr val="000000"/>
              </a:solidFill>
              <a:latin typeface="Calibri"/>
              <a:ea typeface="Calibri"/>
              <a:cs typeface="Calibri"/>
            </a:rPr>
            <a:t>change the formula from  pound to ounce.  (1 lb = 16oz). </a:t>
          </a:r>
        </a:p>
      </xdr:txBody>
    </xdr:sp>
    <xdr:clientData/>
  </xdr:oneCellAnchor>
  <xdr:twoCellAnchor>
    <xdr:from>
      <xdr:col>20</xdr:col>
      <xdr:colOff>295275</xdr:colOff>
      <xdr:row>15</xdr:row>
      <xdr:rowOff>209550</xdr:rowOff>
    </xdr:from>
    <xdr:to>
      <xdr:col>24</xdr:col>
      <xdr:colOff>295275</xdr:colOff>
      <xdr:row>18</xdr:row>
      <xdr:rowOff>114300</xdr:rowOff>
    </xdr:to>
    <xdr:sp>
      <xdr:nvSpPr>
        <xdr:cNvPr id="21" name="Straight Arrow Connector 22"/>
        <xdr:cNvSpPr>
          <a:spLocks/>
        </xdr:cNvSpPr>
      </xdr:nvSpPr>
      <xdr:spPr>
        <a:xfrm flipH="1" flipV="1">
          <a:off x="13230225" y="4886325"/>
          <a:ext cx="2438400"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438150</xdr:colOff>
      <xdr:row>15</xdr:row>
      <xdr:rowOff>228600</xdr:rowOff>
    </xdr:from>
    <xdr:to>
      <xdr:col>23</xdr:col>
      <xdr:colOff>523875</xdr:colOff>
      <xdr:row>18</xdr:row>
      <xdr:rowOff>95250</xdr:rowOff>
    </xdr:to>
    <xdr:sp>
      <xdr:nvSpPr>
        <xdr:cNvPr id="22" name="Straight Arrow Connector 23"/>
        <xdr:cNvSpPr>
          <a:spLocks/>
        </xdr:cNvSpPr>
      </xdr:nvSpPr>
      <xdr:spPr>
        <a:xfrm flipV="1">
          <a:off x="13877925" y="4905375"/>
          <a:ext cx="1381125"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400050</xdr:colOff>
      <xdr:row>15</xdr:row>
      <xdr:rowOff>219075</xdr:rowOff>
    </xdr:from>
    <xdr:to>
      <xdr:col>25</xdr:col>
      <xdr:colOff>295275</xdr:colOff>
      <xdr:row>21</xdr:row>
      <xdr:rowOff>9525</xdr:rowOff>
    </xdr:to>
    <xdr:sp>
      <xdr:nvSpPr>
        <xdr:cNvPr id="23" name="Straight Arrow Connector 24"/>
        <xdr:cNvSpPr>
          <a:spLocks/>
        </xdr:cNvSpPr>
      </xdr:nvSpPr>
      <xdr:spPr>
        <a:xfrm flipV="1">
          <a:off x="15135225" y="4895850"/>
          <a:ext cx="1219200" cy="121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26</xdr:col>
      <xdr:colOff>200025</xdr:colOff>
      <xdr:row>1</xdr:row>
      <xdr:rowOff>19050</xdr:rowOff>
    </xdr:from>
    <xdr:ext cx="1514475" cy="628650"/>
    <xdr:sp>
      <xdr:nvSpPr>
        <xdr:cNvPr id="24" name="TextBox 25"/>
        <xdr:cNvSpPr txBox="1">
          <a:spLocks noChangeArrowheads="1"/>
        </xdr:cNvSpPr>
      </xdr:nvSpPr>
      <xdr:spPr>
        <a:xfrm>
          <a:off x="16954500" y="771525"/>
          <a:ext cx="1514475" cy="628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Purchased Price  per</a:t>
          </a:r>
          <a:r>
            <a:rPr lang="en-US" cap="none" sz="1100" b="0" i="0" u="none" baseline="0">
              <a:solidFill>
                <a:srgbClr val="000000"/>
              </a:solidFill>
              <a:latin typeface="Calibri"/>
              <a:ea typeface="Calibri"/>
              <a:cs typeface="Calibri"/>
            </a:rPr>
            <a:t> unit :  what you pay for each unit</a:t>
          </a:r>
        </a:p>
      </xdr:txBody>
    </xdr:sp>
    <xdr:clientData/>
  </xdr:oneCellAnchor>
  <xdr:oneCellAnchor>
    <xdr:from>
      <xdr:col>1</xdr:col>
      <xdr:colOff>352425</xdr:colOff>
      <xdr:row>6</xdr:row>
      <xdr:rowOff>571500</xdr:rowOff>
    </xdr:from>
    <xdr:ext cx="3505200" cy="1114425"/>
    <xdr:sp>
      <xdr:nvSpPr>
        <xdr:cNvPr id="25" name="Rectangle 27"/>
        <xdr:cNvSpPr>
          <a:spLocks/>
        </xdr:cNvSpPr>
      </xdr:nvSpPr>
      <xdr:spPr>
        <a:xfrm rot="20126363">
          <a:off x="914400" y="2705100"/>
          <a:ext cx="3505200" cy="1114425"/>
        </a:xfrm>
        <a:prstGeom prst="rect">
          <a:avLst/>
        </a:prstGeom>
        <a:noFill/>
        <a:ln w="9525" cmpd="sng">
          <a:noFill/>
        </a:ln>
      </xdr:spPr>
      <xdr:txBody>
        <a:bodyPr vertOverflow="clip" wrap="square">
          <a:spAutoFit/>
        </a:bodyPr>
        <a:p>
          <a:pPr algn="ctr">
            <a:defRPr/>
          </a:pPr>
          <a:r>
            <a:rPr lang="en-US" cap="none" sz="6600" b="0" i="0" u="none" baseline="0">
              <a:solidFill>
                <a:srgbClr val="FFFFFF"/>
              </a:solidFill>
            </a:rPr>
            <a:t>EXAMPLE</a:t>
          </a:r>
        </a:p>
      </xdr:txBody>
    </xdr:sp>
    <xdr:clientData/>
  </xdr:oneCellAnchor>
  <xdr:twoCellAnchor>
    <xdr:from>
      <xdr:col>13</xdr:col>
      <xdr:colOff>885825</xdr:colOff>
      <xdr:row>7</xdr:row>
      <xdr:rowOff>152400</xdr:rowOff>
    </xdr:from>
    <xdr:to>
      <xdr:col>13</xdr:col>
      <xdr:colOff>1047750</xdr:colOff>
      <xdr:row>13</xdr:row>
      <xdr:rowOff>47625</xdr:rowOff>
    </xdr:to>
    <xdr:sp>
      <xdr:nvSpPr>
        <xdr:cNvPr id="26" name="Right Brace 28"/>
        <xdr:cNvSpPr>
          <a:spLocks/>
        </xdr:cNvSpPr>
      </xdr:nvSpPr>
      <xdr:spPr>
        <a:xfrm>
          <a:off x="9277350" y="2924175"/>
          <a:ext cx="161925" cy="13239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647700</xdr:colOff>
      <xdr:row>2</xdr:row>
      <xdr:rowOff>9525</xdr:rowOff>
    </xdr:from>
    <xdr:to>
      <xdr:col>26</xdr:col>
      <xdr:colOff>200025</xdr:colOff>
      <xdr:row>5</xdr:row>
      <xdr:rowOff>19050</xdr:rowOff>
    </xdr:to>
    <xdr:sp>
      <xdr:nvSpPr>
        <xdr:cNvPr id="27" name="Straight Arrow Connector 37"/>
        <xdr:cNvSpPr>
          <a:spLocks/>
        </xdr:cNvSpPr>
      </xdr:nvSpPr>
      <xdr:spPr>
        <a:xfrm flipV="1">
          <a:off x="16021050" y="1085850"/>
          <a:ext cx="933450" cy="962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9"/>
  <sheetViews>
    <sheetView zoomScalePageLayoutView="0" workbookViewId="0" topLeftCell="A1">
      <selection activeCell="T17" sqref="T17"/>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2.2812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17" width="9.00390625" style="0" customWidth="1"/>
    <col min="18" max="18" width="8.7109375" style="0" customWidth="1"/>
    <col min="19" max="21" width="9.00390625" style="0" customWidth="1"/>
  </cols>
  <sheetData>
    <row r="1" spans="1:23" ht="12.75">
      <c r="A1" s="356" t="s">
        <v>0</v>
      </c>
      <c r="B1" s="372"/>
      <c r="C1" s="372"/>
      <c r="D1" s="372"/>
      <c r="E1" s="372"/>
      <c r="F1" s="372"/>
      <c r="G1" s="372"/>
      <c r="H1" s="372"/>
      <c r="I1" s="372"/>
      <c r="J1" s="372"/>
      <c r="K1" s="372"/>
      <c r="L1" s="372"/>
      <c r="M1" s="372"/>
      <c r="N1" s="372"/>
      <c r="O1" s="372"/>
      <c r="P1" s="2"/>
      <c r="Q1" s="2"/>
      <c r="R1" s="2"/>
      <c r="S1" s="2"/>
      <c r="T1" s="2"/>
      <c r="U1" s="2"/>
      <c r="V1" s="1"/>
      <c r="W1" s="1"/>
    </row>
    <row r="2" spans="1:23" ht="35.25" customHeight="1" thickBot="1">
      <c r="A2" s="357" t="s">
        <v>17</v>
      </c>
      <c r="B2" s="357"/>
      <c r="C2" s="358"/>
      <c r="D2" s="359"/>
      <c r="E2" s="359"/>
      <c r="F2" s="359"/>
      <c r="G2" s="49"/>
      <c r="H2" s="4" t="s">
        <v>27</v>
      </c>
      <c r="I2" s="25"/>
      <c r="J2" s="11"/>
      <c r="K2" s="11"/>
      <c r="L2" s="3" t="s">
        <v>25</v>
      </c>
      <c r="M2" s="3"/>
      <c r="N2" s="5"/>
      <c r="O2" s="373"/>
      <c r="P2" s="374"/>
      <c r="Q2" s="374"/>
      <c r="R2" s="374"/>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45.75" customHeight="1" thickBot="1">
      <c r="A4" s="340" t="s">
        <v>1</v>
      </c>
      <c r="B4" s="341"/>
      <c r="C4" s="341"/>
      <c r="D4" s="341"/>
      <c r="E4" s="46" t="s">
        <v>31</v>
      </c>
      <c r="F4" s="44" t="s">
        <v>2</v>
      </c>
      <c r="G4" s="46" t="s">
        <v>30</v>
      </c>
      <c r="H4" s="46" t="s">
        <v>33</v>
      </c>
      <c r="I4" s="46" t="s">
        <v>34</v>
      </c>
      <c r="J4" s="45" t="s">
        <v>13</v>
      </c>
      <c r="K4" s="45" t="s">
        <v>3</v>
      </c>
      <c r="L4" s="47" t="s">
        <v>18</v>
      </c>
      <c r="M4" s="48"/>
      <c r="N4" s="375" t="s">
        <v>32</v>
      </c>
      <c r="O4" s="376"/>
      <c r="P4" s="376"/>
      <c r="Q4" s="376"/>
      <c r="R4" s="377"/>
      <c r="S4" s="2"/>
      <c r="T4" s="2"/>
      <c r="U4" s="2"/>
    </row>
    <row r="5" spans="1:21" ht="18.75" customHeight="1">
      <c r="A5" s="336"/>
      <c r="B5" s="337"/>
      <c r="C5" s="337"/>
      <c r="D5" s="337"/>
      <c r="E5" s="62"/>
      <c r="F5" s="41"/>
      <c r="G5" s="51">
        <f>I2*E5</f>
        <v>0</v>
      </c>
      <c r="H5" s="42">
        <v>0</v>
      </c>
      <c r="I5" s="41"/>
      <c r="J5" s="43">
        <v>0</v>
      </c>
      <c r="K5" s="52" t="e">
        <f>H5/(I5*J5)</f>
        <v>#DIV/0!</v>
      </c>
      <c r="L5" s="61" t="e">
        <f>ROUND(G5*K5,5)</f>
        <v>#DIV/0!</v>
      </c>
      <c r="M5" s="22"/>
      <c r="N5" s="333"/>
      <c r="O5" s="334"/>
      <c r="P5" s="334"/>
      <c r="Q5" s="334"/>
      <c r="R5" s="335"/>
      <c r="S5" s="12"/>
      <c r="T5" s="12"/>
      <c r="U5" s="12"/>
    </row>
    <row r="6" spans="1:21" ht="18.75" customHeight="1">
      <c r="A6" s="336"/>
      <c r="B6" s="337"/>
      <c r="C6" s="337"/>
      <c r="D6" s="337"/>
      <c r="E6" s="62"/>
      <c r="F6" s="41"/>
      <c r="G6" s="51">
        <f>I2*E6</f>
        <v>0</v>
      </c>
      <c r="H6" s="42">
        <v>0</v>
      </c>
      <c r="I6" s="41"/>
      <c r="J6" s="43">
        <v>0</v>
      </c>
      <c r="K6" s="52" t="e">
        <f aca="true" t="shared" si="0" ref="K6:K22">H6/(I6*J6)</f>
        <v>#DIV/0!</v>
      </c>
      <c r="L6" s="61" t="e">
        <f aca="true" t="shared" si="1" ref="L6:L22">ROUND(G6*K6,5)</f>
        <v>#DIV/0!</v>
      </c>
      <c r="M6" s="22"/>
      <c r="N6" s="333"/>
      <c r="O6" s="334"/>
      <c r="P6" s="334"/>
      <c r="Q6" s="334"/>
      <c r="R6" s="335"/>
      <c r="S6" s="12"/>
      <c r="T6" s="12"/>
      <c r="U6" s="12"/>
    </row>
    <row r="7" spans="1:21" ht="18.75" customHeight="1">
      <c r="A7" s="336"/>
      <c r="B7" s="337"/>
      <c r="C7" s="337"/>
      <c r="D7" s="337"/>
      <c r="E7" s="62"/>
      <c r="F7" s="41"/>
      <c r="G7" s="51">
        <f>I2*E7</f>
        <v>0</v>
      </c>
      <c r="H7" s="42">
        <v>0</v>
      </c>
      <c r="I7" s="41"/>
      <c r="J7" s="43">
        <v>0</v>
      </c>
      <c r="K7" s="52" t="e">
        <f t="shared" si="0"/>
        <v>#DIV/0!</v>
      </c>
      <c r="L7" s="53" t="e">
        <f t="shared" si="1"/>
        <v>#DIV/0!</v>
      </c>
      <c r="M7" s="22"/>
      <c r="N7" s="333"/>
      <c r="O7" s="334"/>
      <c r="P7" s="334"/>
      <c r="Q7" s="334"/>
      <c r="R7" s="335"/>
      <c r="S7" s="12"/>
      <c r="T7" s="12"/>
      <c r="U7" s="12"/>
    </row>
    <row r="8" spans="1:21" ht="18.75" customHeight="1">
      <c r="A8" s="336"/>
      <c r="B8" s="337"/>
      <c r="C8" s="337"/>
      <c r="D8" s="337"/>
      <c r="E8" s="62"/>
      <c r="F8" s="41"/>
      <c r="G8" s="51">
        <f>I2*E8</f>
        <v>0</v>
      </c>
      <c r="H8" s="42">
        <v>0</v>
      </c>
      <c r="I8" s="41"/>
      <c r="J8" s="43"/>
      <c r="K8" s="52" t="e">
        <f t="shared" si="0"/>
        <v>#DIV/0!</v>
      </c>
      <c r="L8" s="53" t="e">
        <f t="shared" si="1"/>
        <v>#DIV/0!</v>
      </c>
      <c r="M8" s="22"/>
      <c r="N8" s="333"/>
      <c r="O8" s="334"/>
      <c r="P8" s="334"/>
      <c r="Q8" s="334"/>
      <c r="R8" s="335"/>
      <c r="S8" s="12"/>
      <c r="T8" s="12"/>
      <c r="U8" s="12"/>
    </row>
    <row r="9" spans="1:21" ht="18.75" customHeight="1">
      <c r="A9" s="336"/>
      <c r="B9" s="337"/>
      <c r="C9" s="337"/>
      <c r="D9" s="337"/>
      <c r="E9" s="62"/>
      <c r="F9" s="41"/>
      <c r="G9" s="51">
        <f>I2*E9</f>
        <v>0</v>
      </c>
      <c r="H9" s="42">
        <v>0</v>
      </c>
      <c r="I9" s="41"/>
      <c r="J9" s="43"/>
      <c r="K9" s="52" t="e">
        <f t="shared" si="0"/>
        <v>#DIV/0!</v>
      </c>
      <c r="L9" s="53" t="e">
        <f t="shared" si="1"/>
        <v>#DIV/0!</v>
      </c>
      <c r="M9" s="22"/>
      <c r="N9" s="333"/>
      <c r="O9" s="334"/>
      <c r="P9" s="334"/>
      <c r="Q9" s="334"/>
      <c r="R9" s="335"/>
      <c r="S9" s="12"/>
      <c r="T9" s="12"/>
      <c r="U9" s="12"/>
    </row>
    <row r="10" spans="1:21" ht="18.75" customHeight="1">
      <c r="A10" s="336"/>
      <c r="B10" s="337"/>
      <c r="C10" s="337"/>
      <c r="D10" s="337"/>
      <c r="E10" s="62"/>
      <c r="F10" s="41"/>
      <c r="G10" s="51">
        <f>I2*E10</f>
        <v>0</v>
      </c>
      <c r="H10" s="42"/>
      <c r="I10" s="41"/>
      <c r="J10" s="43"/>
      <c r="K10" s="52" t="e">
        <f t="shared" si="0"/>
        <v>#DIV/0!</v>
      </c>
      <c r="L10" s="61" t="e">
        <f t="shared" si="1"/>
        <v>#DIV/0!</v>
      </c>
      <c r="M10" s="22"/>
      <c r="N10" s="333"/>
      <c r="O10" s="334"/>
      <c r="P10" s="334"/>
      <c r="Q10" s="334"/>
      <c r="R10" s="335"/>
      <c r="S10" s="12"/>
      <c r="T10" s="12"/>
      <c r="U10" s="12"/>
    </row>
    <row r="11" spans="1:21" ht="18.75" customHeight="1">
      <c r="A11" s="336"/>
      <c r="B11" s="337"/>
      <c r="C11" s="337"/>
      <c r="D11" s="337"/>
      <c r="E11" s="62"/>
      <c r="F11" s="41"/>
      <c r="G11" s="51">
        <f>I2*E11</f>
        <v>0</v>
      </c>
      <c r="H11" s="42">
        <v>0</v>
      </c>
      <c r="I11" s="41"/>
      <c r="J11" s="43"/>
      <c r="K11" s="52" t="e">
        <f t="shared" si="0"/>
        <v>#DIV/0!</v>
      </c>
      <c r="L11" s="53" t="e">
        <f t="shared" si="1"/>
        <v>#DIV/0!</v>
      </c>
      <c r="M11" s="22"/>
      <c r="N11" s="333"/>
      <c r="O11" s="334"/>
      <c r="P11" s="334"/>
      <c r="Q11" s="334"/>
      <c r="R11" s="335"/>
      <c r="S11" s="12"/>
      <c r="T11" s="12"/>
      <c r="U11" s="12"/>
    </row>
    <row r="12" spans="1:21" ht="18.75" customHeight="1">
      <c r="A12" s="336"/>
      <c r="B12" s="337"/>
      <c r="C12" s="337"/>
      <c r="D12" s="337"/>
      <c r="E12" s="62"/>
      <c r="F12" s="41"/>
      <c r="G12" s="51">
        <f>I2*E12</f>
        <v>0</v>
      </c>
      <c r="H12" s="42">
        <v>0</v>
      </c>
      <c r="I12" s="41"/>
      <c r="J12" s="43"/>
      <c r="K12" s="52" t="e">
        <f t="shared" si="0"/>
        <v>#DIV/0!</v>
      </c>
      <c r="L12" s="53" t="e">
        <f t="shared" si="1"/>
        <v>#DIV/0!</v>
      </c>
      <c r="M12" s="22"/>
      <c r="N12" s="333"/>
      <c r="O12" s="334"/>
      <c r="P12" s="334"/>
      <c r="Q12" s="334"/>
      <c r="R12" s="335"/>
      <c r="S12" s="12"/>
      <c r="T12" s="12"/>
      <c r="U12" s="12"/>
    </row>
    <row r="13" spans="1:21" ht="18.75" customHeight="1">
      <c r="A13" s="336"/>
      <c r="B13" s="337"/>
      <c r="C13" s="337"/>
      <c r="D13" s="337"/>
      <c r="E13" s="62"/>
      <c r="F13" s="41"/>
      <c r="G13" s="51">
        <f>I2*E13</f>
        <v>0</v>
      </c>
      <c r="H13" s="42">
        <v>0</v>
      </c>
      <c r="I13" s="41"/>
      <c r="J13" s="43"/>
      <c r="K13" s="52" t="e">
        <f t="shared" si="0"/>
        <v>#DIV/0!</v>
      </c>
      <c r="L13" s="53" t="e">
        <f t="shared" si="1"/>
        <v>#DIV/0!</v>
      </c>
      <c r="M13" s="22"/>
      <c r="N13" s="333"/>
      <c r="O13" s="334"/>
      <c r="P13" s="334"/>
      <c r="Q13" s="334"/>
      <c r="R13" s="335"/>
      <c r="S13" s="12"/>
      <c r="T13" s="12"/>
      <c r="U13" s="12"/>
    </row>
    <row r="14" spans="1:21" ht="18.75" customHeight="1">
      <c r="A14" s="338"/>
      <c r="B14" s="339"/>
      <c r="C14" s="339"/>
      <c r="D14" s="339"/>
      <c r="E14" s="40"/>
      <c r="F14" s="41"/>
      <c r="G14" s="51">
        <f>I2*E14</f>
        <v>0</v>
      </c>
      <c r="H14" s="42">
        <v>0</v>
      </c>
      <c r="I14" s="41"/>
      <c r="J14" s="43"/>
      <c r="K14" s="52" t="e">
        <f t="shared" si="0"/>
        <v>#DIV/0!</v>
      </c>
      <c r="L14" s="53" t="e">
        <f t="shared" si="1"/>
        <v>#DIV/0!</v>
      </c>
      <c r="M14" s="22"/>
      <c r="N14" s="333"/>
      <c r="O14" s="334"/>
      <c r="P14" s="334"/>
      <c r="Q14" s="334"/>
      <c r="R14" s="335"/>
      <c r="S14" s="12"/>
      <c r="T14" s="12"/>
      <c r="U14" s="12"/>
    </row>
    <row r="15" spans="1:21" ht="18.75" customHeight="1">
      <c r="A15" s="338"/>
      <c r="B15" s="339"/>
      <c r="C15" s="339"/>
      <c r="D15" s="339"/>
      <c r="E15" s="40"/>
      <c r="F15" s="41"/>
      <c r="G15" s="51">
        <f>I2*E15</f>
        <v>0</v>
      </c>
      <c r="H15" s="42">
        <v>0</v>
      </c>
      <c r="I15" s="41"/>
      <c r="J15" s="43"/>
      <c r="K15" s="52" t="e">
        <f t="shared" si="0"/>
        <v>#DIV/0!</v>
      </c>
      <c r="L15" s="53" t="e">
        <f t="shared" si="1"/>
        <v>#DIV/0!</v>
      </c>
      <c r="M15" s="22"/>
      <c r="N15" s="333"/>
      <c r="O15" s="334"/>
      <c r="P15" s="334"/>
      <c r="Q15" s="334"/>
      <c r="R15" s="335"/>
      <c r="S15" s="12"/>
      <c r="T15" s="12"/>
      <c r="U15" s="12"/>
    </row>
    <row r="16" spans="1:21" ht="18.75" customHeight="1">
      <c r="A16" s="338"/>
      <c r="B16" s="339"/>
      <c r="C16" s="339"/>
      <c r="D16" s="339"/>
      <c r="E16" s="40"/>
      <c r="F16" s="41"/>
      <c r="G16" s="51">
        <f>I2*E16</f>
        <v>0</v>
      </c>
      <c r="H16" s="42">
        <v>0</v>
      </c>
      <c r="I16" s="41"/>
      <c r="J16" s="43"/>
      <c r="K16" s="52" t="e">
        <f t="shared" si="0"/>
        <v>#DIV/0!</v>
      </c>
      <c r="L16" s="53" t="e">
        <f t="shared" si="1"/>
        <v>#DIV/0!</v>
      </c>
      <c r="M16" s="22"/>
      <c r="N16" s="333"/>
      <c r="O16" s="334"/>
      <c r="P16" s="334"/>
      <c r="Q16" s="334"/>
      <c r="R16" s="335"/>
      <c r="S16" s="12"/>
      <c r="T16" s="12"/>
      <c r="U16" s="12"/>
    </row>
    <row r="17" spans="1:21" ht="18.75" customHeight="1">
      <c r="A17" s="338"/>
      <c r="B17" s="339"/>
      <c r="C17" s="339"/>
      <c r="D17" s="339"/>
      <c r="E17" s="40"/>
      <c r="F17" s="41"/>
      <c r="G17" s="51">
        <f>I2*E17</f>
        <v>0</v>
      </c>
      <c r="H17" s="42">
        <v>0</v>
      </c>
      <c r="I17" s="41"/>
      <c r="J17" s="43"/>
      <c r="K17" s="52" t="e">
        <f t="shared" si="0"/>
        <v>#DIV/0!</v>
      </c>
      <c r="L17" s="53" t="e">
        <f t="shared" si="1"/>
        <v>#DIV/0!</v>
      </c>
      <c r="M17" s="22"/>
      <c r="N17" s="333"/>
      <c r="O17" s="334"/>
      <c r="P17" s="334"/>
      <c r="Q17" s="334"/>
      <c r="R17" s="335"/>
      <c r="S17" s="12"/>
      <c r="T17" s="12"/>
      <c r="U17" s="12"/>
    </row>
    <row r="18" spans="1:21" ht="18.75" customHeight="1">
      <c r="A18" s="338"/>
      <c r="B18" s="339"/>
      <c r="C18" s="339"/>
      <c r="D18" s="339"/>
      <c r="E18" s="40"/>
      <c r="F18" s="41"/>
      <c r="G18" s="51">
        <f>I2*E18</f>
        <v>0</v>
      </c>
      <c r="H18" s="42">
        <v>0</v>
      </c>
      <c r="I18" s="41"/>
      <c r="J18" s="43"/>
      <c r="K18" s="52" t="e">
        <f t="shared" si="0"/>
        <v>#DIV/0!</v>
      </c>
      <c r="L18" s="53" t="e">
        <f t="shared" si="1"/>
        <v>#DIV/0!</v>
      </c>
      <c r="M18" s="22"/>
      <c r="N18" s="333"/>
      <c r="O18" s="334"/>
      <c r="P18" s="334"/>
      <c r="Q18" s="334"/>
      <c r="R18" s="335"/>
      <c r="S18" s="12"/>
      <c r="T18" s="12"/>
      <c r="U18" s="12"/>
    </row>
    <row r="19" spans="1:21" ht="18.75" customHeight="1">
      <c r="A19" s="338"/>
      <c r="B19" s="339"/>
      <c r="C19" s="339"/>
      <c r="D19" s="339"/>
      <c r="E19" s="40"/>
      <c r="F19" s="41"/>
      <c r="G19" s="51">
        <f>I2*E19</f>
        <v>0</v>
      </c>
      <c r="H19" s="42">
        <v>0</v>
      </c>
      <c r="I19" s="41"/>
      <c r="J19" s="43"/>
      <c r="K19" s="52" t="e">
        <f t="shared" si="0"/>
        <v>#DIV/0!</v>
      </c>
      <c r="L19" s="53" t="e">
        <f t="shared" si="1"/>
        <v>#DIV/0!</v>
      </c>
      <c r="M19" s="22"/>
      <c r="N19" s="333"/>
      <c r="O19" s="334"/>
      <c r="P19" s="334"/>
      <c r="Q19" s="334"/>
      <c r="R19" s="335"/>
      <c r="S19" s="12"/>
      <c r="T19" s="12"/>
      <c r="U19" s="12"/>
    </row>
    <row r="20" spans="1:21" ht="18.75" customHeight="1">
      <c r="A20" s="338"/>
      <c r="B20" s="339"/>
      <c r="C20" s="339"/>
      <c r="D20" s="339"/>
      <c r="E20" s="40"/>
      <c r="F20" s="41"/>
      <c r="G20" s="51">
        <f>I2*E20</f>
        <v>0</v>
      </c>
      <c r="H20" s="42">
        <v>0</v>
      </c>
      <c r="I20" s="41"/>
      <c r="J20" s="43"/>
      <c r="K20" s="52" t="e">
        <f t="shared" si="0"/>
        <v>#DIV/0!</v>
      </c>
      <c r="L20" s="53" t="e">
        <f t="shared" si="1"/>
        <v>#DIV/0!</v>
      </c>
      <c r="M20" s="22"/>
      <c r="N20" s="333"/>
      <c r="O20" s="334"/>
      <c r="P20" s="334"/>
      <c r="Q20" s="334"/>
      <c r="R20" s="335"/>
      <c r="S20" s="12"/>
      <c r="T20" s="12"/>
      <c r="U20" s="12"/>
    </row>
    <row r="21" spans="1:21" ht="18.75" customHeight="1">
      <c r="A21" s="338"/>
      <c r="B21" s="339"/>
      <c r="C21" s="339"/>
      <c r="D21" s="339"/>
      <c r="E21" s="40"/>
      <c r="F21" s="41"/>
      <c r="G21" s="51">
        <f>I2*E21</f>
        <v>0</v>
      </c>
      <c r="H21" s="42">
        <v>0</v>
      </c>
      <c r="I21" s="41"/>
      <c r="J21" s="43"/>
      <c r="K21" s="52" t="e">
        <f t="shared" si="0"/>
        <v>#DIV/0!</v>
      </c>
      <c r="L21" s="53" t="e">
        <f t="shared" si="1"/>
        <v>#DIV/0!</v>
      </c>
      <c r="M21" s="22"/>
      <c r="N21" s="333"/>
      <c r="O21" s="334"/>
      <c r="P21" s="334"/>
      <c r="Q21" s="334"/>
      <c r="R21" s="335"/>
      <c r="S21" s="12"/>
      <c r="T21" s="12"/>
      <c r="U21" s="12"/>
    </row>
    <row r="22" spans="1:21" ht="18.75" customHeight="1" thickBot="1">
      <c r="A22" s="338"/>
      <c r="B22" s="339"/>
      <c r="C22" s="339"/>
      <c r="D22" s="339"/>
      <c r="E22" s="40"/>
      <c r="F22" s="41"/>
      <c r="G22" s="51">
        <f>I2*E22</f>
        <v>0</v>
      </c>
      <c r="H22" s="42">
        <v>0</v>
      </c>
      <c r="I22" s="41"/>
      <c r="J22" s="43"/>
      <c r="K22" s="52" t="e">
        <f t="shared" si="0"/>
        <v>#DIV/0!</v>
      </c>
      <c r="L22" s="53" t="e">
        <f t="shared" si="1"/>
        <v>#DIV/0!</v>
      </c>
      <c r="M22" s="22"/>
      <c r="N22" s="333"/>
      <c r="O22" s="334"/>
      <c r="P22" s="334"/>
      <c r="Q22" s="334"/>
      <c r="R22" s="335"/>
      <c r="S22" s="12"/>
      <c r="T22" s="12"/>
      <c r="U22" s="12"/>
    </row>
    <row r="23" spans="1:21" ht="25.5" customHeight="1" thickBot="1">
      <c r="A23" s="347" t="s">
        <v>29</v>
      </c>
      <c r="B23" s="348"/>
      <c r="C23" s="348"/>
      <c r="D23" s="349"/>
      <c r="E23" s="352" t="s">
        <v>7</v>
      </c>
      <c r="F23" s="353"/>
      <c r="G23" s="353"/>
      <c r="H23" s="353"/>
      <c r="I23" s="353"/>
      <c r="J23" s="353"/>
      <c r="K23" s="353"/>
      <c r="L23" s="54" t="e">
        <f>ROUNDUP(SUM(L5:L22),5)</f>
        <v>#DIV/0!</v>
      </c>
      <c r="M23" s="18"/>
      <c r="N23" s="333"/>
      <c r="O23" s="334"/>
      <c r="P23" s="334"/>
      <c r="Q23" s="334"/>
      <c r="R23" s="335"/>
      <c r="S23" s="12"/>
      <c r="T23" s="12"/>
      <c r="U23" s="12"/>
    </row>
    <row r="24" spans="1:21" ht="20.25" customHeight="1">
      <c r="A24" s="9" t="s">
        <v>14</v>
      </c>
      <c r="B24" s="9" t="s">
        <v>15</v>
      </c>
      <c r="C24" s="345" t="s">
        <v>16</v>
      </c>
      <c r="D24" s="346"/>
      <c r="E24" s="21"/>
      <c r="F24" s="22"/>
      <c r="G24" s="22"/>
      <c r="H24" s="18" t="s">
        <v>9</v>
      </c>
      <c r="I24" s="18"/>
      <c r="J24" s="18"/>
      <c r="K24" s="18"/>
      <c r="L24" s="55" t="e">
        <f>ROUND(L23*10/100,5)</f>
        <v>#DIV/0!</v>
      </c>
      <c r="M24" s="18"/>
      <c r="N24" s="333"/>
      <c r="O24" s="334"/>
      <c r="P24" s="334"/>
      <c r="Q24" s="334"/>
      <c r="R24" s="335"/>
      <c r="S24" s="12"/>
      <c r="T24" s="12"/>
      <c r="U24" s="12"/>
    </row>
    <row r="25" spans="1:21" ht="22.5" customHeight="1" thickBot="1">
      <c r="A25" s="10"/>
      <c r="B25" s="10"/>
      <c r="C25" s="360"/>
      <c r="D25" s="361"/>
      <c r="E25" s="23"/>
      <c r="F25" s="24"/>
      <c r="G25" s="24"/>
      <c r="H25" s="25" t="s">
        <v>6</v>
      </c>
      <c r="I25" s="25"/>
      <c r="J25" s="25"/>
      <c r="K25" s="25"/>
      <c r="L25" s="56" t="e">
        <f>L23+L24</f>
        <v>#DIV/0!</v>
      </c>
      <c r="M25" s="18"/>
      <c r="N25" s="366"/>
      <c r="O25" s="367"/>
      <c r="P25" s="367"/>
      <c r="Q25" s="367"/>
      <c r="R25" s="368"/>
      <c r="S25" s="12"/>
      <c r="T25" s="12"/>
      <c r="U25" s="12"/>
    </row>
    <row r="26" spans="5:21" ht="7.5" customHeight="1" thickBot="1">
      <c r="E26" s="356"/>
      <c r="F26" s="356"/>
      <c r="G26" s="2"/>
      <c r="H26" s="2"/>
      <c r="I26" s="2"/>
      <c r="J26" s="4"/>
      <c r="K26" s="4"/>
      <c r="L26" s="4"/>
      <c r="M26" s="14"/>
      <c r="N26" s="378" t="s">
        <v>26</v>
      </c>
      <c r="O26" s="378"/>
      <c r="P26" s="16"/>
      <c r="Q26" s="16"/>
      <c r="R26" s="17"/>
      <c r="S26" s="1"/>
      <c r="T26" s="1"/>
      <c r="U26" s="1"/>
    </row>
    <row r="27" spans="1:21" ht="20.25" customHeight="1">
      <c r="A27" s="342" t="s">
        <v>5</v>
      </c>
      <c r="B27" s="343"/>
      <c r="C27" s="343"/>
      <c r="D27" s="26"/>
      <c r="E27" s="343"/>
      <c r="F27" s="369"/>
      <c r="G27" s="16"/>
      <c r="H27" s="20"/>
      <c r="I27" s="16"/>
      <c r="J27" s="15"/>
      <c r="K27" s="15"/>
      <c r="L27" s="15"/>
      <c r="M27" s="37"/>
      <c r="N27" s="379"/>
      <c r="O27" s="379"/>
      <c r="P27" s="18"/>
      <c r="Q27" s="18"/>
      <c r="R27" s="19"/>
      <c r="S27" s="6"/>
      <c r="T27" s="6"/>
      <c r="U27" s="6"/>
    </row>
    <row r="28" spans="1:21" ht="37.5" customHeight="1">
      <c r="A28" s="27" t="s">
        <v>19</v>
      </c>
      <c r="B28" s="28" t="s">
        <v>20</v>
      </c>
      <c r="C28" s="29" t="s">
        <v>21</v>
      </c>
      <c r="D28" s="30" t="s">
        <v>22</v>
      </c>
      <c r="E28" s="354" t="s">
        <v>8</v>
      </c>
      <c r="F28" s="355"/>
      <c r="G28" s="36"/>
      <c r="H28" s="34"/>
      <c r="I28" s="33" t="s">
        <v>28</v>
      </c>
      <c r="J28" s="33" t="s">
        <v>23</v>
      </c>
      <c r="K28" s="344" t="s">
        <v>24</v>
      </c>
      <c r="L28" s="344"/>
      <c r="M28" s="38"/>
      <c r="N28" s="362"/>
      <c r="O28" s="363"/>
      <c r="P28" s="363"/>
      <c r="Q28" s="363"/>
      <c r="R28" s="364"/>
      <c r="S28" s="6"/>
      <c r="T28" s="6"/>
      <c r="U28" s="6"/>
    </row>
    <row r="29" spans="1:18" ht="19.5" customHeight="1" thickBot="1">
      <c r="A29" s="31">
        <v>1</v>
      </c>
      <c r="B29" s="32"/>
      <c r="C29" s="57" t="e">
        <f>L25</f>
        <v>#DIV/0!</v>
      </c>
      <c r="D29" s="58">
        <v>0</v>
      </c>
      <c r="E29" s="370" t="e">
        <f>C29+D29</f>
        <v>#DIV/0!</v>
      </c>
      <c r="F29" s="371"/>
      <c r="G29" s="50"/>
      <c r="H29" s="35"/>
      <c r="I29" s="59" t="e">
        <f>E29/J29</f>
        <v>#DIV/0!</v>
      </c>
      <c r="J29" s="60">
        <v>0.3</v>
      </c>
      <c r="K29" s="350">
        <f ca="1">NOW()</f>
        <v>41359.56477372685</v>
      </c>
      <c r="L29" s="351"/>
      <c r="M29" s="39"/>
      <c r="N29" s="365"/>
      <c r="O29" s="365"/>
      <c r="P29" s="365"/>
      <c r="Q29" s="365"/>
      <c r="R29" s="361"/>
    </row>
  </sheetData>
  <sheetProtection formatColumns="0"/>
  <mergeCells count="58">
    <mergeCell ref="A1:O1"/>
    <mergeCell ref="O2:R2"/>
    <mergeCell ref="N4:R4"/>
    <mergeCell ref="N5:R5"/>
    <mergeCell ref="N6:R6"/>
    <mergeCell ref="N26:O27"/>
    <mergeCell ref="N16:R16"/>
    <mergeCell ref="N17:R17"/>
    <mergeCell ref="N18:R18"/>
    <mergeCell ref="N19:R19"/>
    <mergeCell ref="A19:D19"/>
    <mergeCell ref="N28:R29"/>
    <mergeCell ref="N22:R22"/>
    <mergeCell ref="N23:R23"/>
    <mergeCell ref="N24:R24"/>
    <mergeCell ref="N25:R25"/>
    <mergeCell ref="N20:R20"/>
    <mergeCell ref="N21:R21"/>
    <mergeCell ref="E27:F27"/>
    <mergeCell ref="E29:F29"/>
    <mergeCell ref="A16:D16"/>
    <mergeCell ref="A2:B2"/>
    <mergeCell ref="C2:F2"/>
    <mergeCell ref="A6:D6"/>
    <mergeCell ref="A7:D7"/>
    <mergeCell ref="C25:D25"/>
    <mergeCell ref="A18:D18"/>
    <mergeCell ref="A10:D10"/>
    <mergeCell ref="A9:D9"/>
    <mergeCell ref="A5:D5"/>
    <mergeCell ref="A27:C27"/>
    <mergeCell ref="K28:L28"/>
    <mergeCell ref="C24:D24"/>
    <mergeCell ref="A23:D23"/>
    <mergeCell ref="K29:L29"/>
    <mergeCell ref="E23:K23"/>
    <mergeCell ref="E28:F28"/>
    <mergeCell ref="E26:F26"/>
    <mergeCell ref="N12:R12"/>
    <mergeCell ref="A20:D20"/>
    <mergeCell ref="A21:D21"/>
    <mergeCell ref="A22:D22"/>
    <mergeCell ref="A17:D17"/>
    <mergeCell ref="A4:D4"/>
    <mergeCell ref="A12:D12"/>
    <mergeCell ref="A13:D13"/>
    <mergeCell ref="A14:D14"/>
    <mergeCell ref="A15:D15"/>
    <mergeCell ref="N15:R15"/>
    <mergeCell ref="A11:D11"/>
    <mergeCell ref="A8:D8"/>
    <mergeCell ref="N13:R13"/>
    <mergeCell ref="N14:R14"/>
    <mergeCell ref="N7:R7"/>
    <mergeCell ref="N8:R8"/>
    <mergeCell ref="N9:R9"/>
    <mergeCell ref="N10:R10"/>
    <mergeCell ref="N11:R11"/>
  </mergeCells>
  <printOptions gridLines="1"/>
  <pageMargins left="0" right="0" top="0.75" bottom="0" header="0.25" footer="0.5"/>
  <pageSetup horizontalDpi="600" verticalDpi="600" orientation="landscape" scale="88" r:id="rId1"/>
</worksheet>
</file>

<file path=xl/worksheets/sheet10.xml><?xml version="1.0" encoding="utf-8"?>
<worksheet xmlns="http://schemas.openxmlformats.org/spreadsheetml/2006/main" xmlns:r="http://schemas.openxmlformats.org/officeDocument/2006/relationships">
  <dimension ref="A1:AH28"/>
  <sheetViews>
    <sheetView zoomScalePageLayoutView="0" workbookViewId="0" topLeftCell="A1">
      <selection activeCell="M1" sqref="M1"/>
    </sheetView>
  </sheetViews>
  <sheetFormatPr defaultColWidth="9.140625" defaultRowHeight="12.75"/>
  <cols>
    <col min="1" max="1" width="9.8515625" style="280" customWidth="1"/>
    <col min="2" max="3" width="9.140625" style="280" customWidth="1"/>
    <col min="4" max="4" width="10.8515625" style="280" customWidth="1"/>
    <col min="5" max="5" width="9.140625" style="280" customWidth="1"/>
    <col min="6" max="6" width="11.421875" style="280" customWidth="1"/>
    <col min="7" max="7" width="4.8515625" style="280" customWidth="1"/>
    <col min="8" max="8" width="8.57421875" style="280" customWidth="1"/>
    <col min="9" max="9" width="9.8515625" style="280" customWidth="1"/>
    <col min="10" max="10" width="8.57421875" style="280" customWidth="1"/>
    <col min="11" max="12" width="13.7109375" style="280" customWidth="1"/>
    <col min="13" max="13" width="38.8515625" style="280" customWidth="1"/>
    <col min="14" max="16" width="9.140625" style="280" customWidth="1"/>
    <col min="17" max="17" width="11.8515625" style="280" customWidth="1"/>
    <col min="18" max="18" width="9.57421875" style="280" customWidth="1"/>
    <col min="19" max="19" width="8.140625" style="280" customWidth="1"/>
    <col min="20" max="20" width="10.421875" style="280" customWidth="1"/>
    <col min="21" max="21" width="9.8515625" style="280" customWidth="1"/>
    <col min="22" max="22" width="10.140625" style="280" customWidth="1"/>
    <col min="23" max="23" width="11.140625" style="280" customWidth="1"/>
    <col min="24" max="24" width="11.57421875" style="280" customWidth="1"/>
    <col min="25" max="25" width="4.28125" style="280" customWidth="1"/>
    <col min="26" max="26" width="10.7109375" style="280" customWidth="1"/>
    <col min="27" max="27" width="9.00390625" style="280" customWidth="1"/>
    <col min="28" max="28" width="9.28125" style="280" customWidth="1"/>
    <col min="29" max="29" width="11.57421875" style="280" customWidth="1"/>
    <col min="30" max="32" width="9.00390625" style="280" customWidth="1"/>
    <col min="33" max="16384" width="9.140625" style="280"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74"/>
      <c r="AE1" s="274"/>
      <c r="AF1" s="274"/>
      <c r="AG1" s="70"/>
      <c r="AH1" s="70"/>
    </row>
    <row r="2" spans="1:34" ht="52.5" customHeight="1" thickBot="1">
      <c r="A2" s="450" t="s">
        <v>44</v>
      </c>
      <c r="B2" s="450"/>
      <c r="C2" s="469" t="s">
        <v>143</v>
      </c>
      <c r="D2" s="469"/>
      <c r="E2" s="469"/>
      <c r="F2" s="469"/>
      <c r="G2" s="469"/>
      <c r="H2" s="283" t="s">
        <v>55</v>
      </c>
      <c r="I2" s="151">
        <v>50</v>
      </c>
      <c r="J2" s="283" t="s">
        <v>48</v>
      </c>
      <c r="K2" s="152" t="s">
        <v>244</v>
      </c>
      <c r="L2" s="152"/>
      <c r="M2" s="153"/>
      <c r="N2" s="508" t="s">
        <v>17</v>
      </c>
      <c r="O2" s="508"/>
      <c r="P2" s="471" t="str">
        <f>C2</f>
        <v>Mini Muffaletta Slider</v>
      </c>
      <c r="Q2" s="471"/>
      <c r="R2" s="471"/>
      <c r="S2" s="471"/>
      <c r="T2" s="472"/>
      <c r="U2" s="77"/>
      <c r="V2" s="77"/>
      <c r="W2" s="283" t="s">
        <v>55</v>
      </c>
      <c r="X2" s="78">
        <f>I2</f>
        <v>50</v>
      </c>
      <c r="Y2" s="79"/>
      <c r="Z2" s="80" t="s">
        <v>53</v>
      </c>
      <c r="AA2" s="518" t="str">
        <f>K2</f>
        <v>1 slider per serving</v>
      </c>
      <c r="AB2" s="398"/>
      <c r="AC2" s="398"/>
      <c r="AD2" s="84"/>
      <c r="AE2" s="84"/>
      <c r="AF2" s="84"/>
      <c r="AG2" s="83"/>
      <c r="AH2" s="83"/>
    </row>
    <row r="3" spans="1:34" ht="11.25" customHeight="1">
      <c r="A3" s="277"/>
      <c r="B3" s="230"/>
      <c r="C3" s="519" t="s">
        <v>245</v>
      </c>
      <c r="D3" s="520"/>
      <c r="E3" s="520"/>
      <c r="F3" s="520"/>
      <c r="G3" s="520"/>
      <c r="H3" s="231"/>
      <c r="I3" s="437"/>
      <c r="J3" s="528"/>
      <c r="K3" s="528"/>
      <c r="L3" s="85"/>
      <c r="M3" s="86"/>
      <c r="N3" s="283"/>
      <c r="O3" s="283"/>
      <c r="P3" s="522" t="str">
        <f>C3</f>
        <v>Taste of New Orleans</v>
      </c>
      <c r="Q3" s="523"/>
      <c r="R3" s="523"/>
      <c r="S3" s="523"/>
      <c r="T3" s="523"/>
      <c r="U3" s="523"/>
      <c r="V3" s="523"/>
      <c r="W3" s="283"/>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74"/>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76" t="s">
        <v>31</v>
      </c>
      <c r="S5" s="278" t="s">
        <v>2</v>
      </c>
      <c r="T5" s="276" t="s">
        <v>51</v>
      </c>
      <c r="U5" s="276" t="s">
        <v>30</v>
      </c>
      <c r="V5" s="276" t="s">
        <v>49</v>
      </c>
      <c r="W5" s="276" t="s">
        <v>57</v>
      </c>
      <c r="X5" s="442" t="s">
        <v>75</v>
      </c>
      <c r="Y5" s="442"/>
      <c r="Z5" s="276" t="s">
        <v>50</v>
      </c>
      <c r="AA5" s="276" t="s">
        <v>13</v>
      </c>
      <c r="AB5" s="276" t="s">
        <v>61</v>
      </c>
      <c r="AC5" s="133" t="s">
        <v>62</v>
      </c>
      <c r="AD5" s="274"/>
      <c r="AE5" s="274"/>
      <c r="AF5" s="274"/>
    </row>
    <row r="6" spans="1:32" ht="18.75" customHeight="1">
      <c r="A6" s="443" t="s">
        <v>246</v>
      </c>
      <c r="B6" s="444"/>
      <c r="C6" s="444"/>
      <c r="D6" s="445"/>
      <c r="E6" s="446" t="s">
        <v>247</v>
      </c>
      <c r="F6" s="447"/>
      <c r="G6" s="91">
        <v>1</v>
      </c>
      <c r="H6" s="444" t="s">
        <v>248</v>
      </c>
      <c r="I6" s="500"/>
      <c r="J6" s="500"/>
      <c r="K6" s="500"/>
      <c r="L6" s="500"/>
      <c r="M6" s="501"/>
      <c r="N6" s="429" t="str">
        <f aca="true" t="shared" si="0" ref="N6:N20">A6</f>
        <v>Italian Bread Dinner Rolls</v>
      </c>
      <c r="O6" s="430"/>
      <c r="P6" s="430"/>
      <c r="Q6" s="430"/>
      <c r="R6" s="232">
        <v>1</v>
      </c>
      <c r="S6" s="161" t="s">
        <v>249</v>
      </c>
      <c r="T6" s="162">
        <f>R6*X2</f>
        <v>50</v>
      </c>
      <c r="U6" s="172">
        <f>(X2*R6)/AA6</f>
        <v>50</v>
      </c>
      <c r="V6" s="164" t="s">
        <v>250</v>
      </c>
      <c r="W6" s="165">
        <v>40.1</v>
      </c>
      <c r="X6" s="166">
        <f>U6/1</f>
        <v>50</v>
      </c>
      <c r="Y6" s="166" t="s">
        <v>66</v>
      </c>
      <c r="Z6" s="167">
        <f>(W6/150)*X6</f>
        <v>13.366666666666669</v>
      </c>
      <c r="AA6" s="168">
        <v>1</v>
      </c>
      <c r="AB6" s="169">
        <f>Z6/X2</f>
        <v>0.26733333333333337</v>
      </c>
      <c r="AC6" s="170">
        <f>X2*AB6</f>
        <v>13.366666666666669</v>
      </c>
      <c r="AD6" s="103"/>
      <c r="AE6" s="103"/>
      <c r="AF6" s="103"/>
    </row>
    <row r="7" spans="1:32" ht="18.75" customHeight="1">
      <c r="A7" s="529" t="s">
        <v>251</v>
      </c>
      <c r="B7" s="530"/>
      <c r="C7" s="530"/>
      <c r="D7" s="531"/>
      <c r="E7" s="436" t="s">
        <v>166</v>
      </c>
      <c r="F7" s="435"/>
      <c r="G7" s="91">
        <v>2</v>
      </c>
      <c r="H7" s="432" t="s">
        <v>252</v>
      </c>
      <c r="I7" s="483"/>
      <c r="J7" s="483"/>
      <c r="K7" s="483"/>
      <c r="L7" s="483"/>
      <c r="M7" s="484"/>
      <c r="N7" s="429" t="str">
        <f t="shared" si="0"/>
        <v>Olive Salad -- see recipe or Italian Olive Salad </v>
      </c>
      <c r="O7" s="430"/>
      <c r="P7" s="430"/>
      <c r="Q7" s="430"/>
      <c r="R7" s="232">
        <v>0.02</v>
      </c>
      <c r="S7" s="161" t="s">
        <v>88</v>
      </c>
      <c r="T7" s="176">
        <f>X2*R7</f>
        <v>1</v>
      </c>
      <c r="U7" s="172">
        <f>(X2*R7)/AA7</f>
        <v>1</v>
      </c>
      <c r="V7" s="164" t="s">
        <v>253</v>
      </c>
      <c r="W7" s="165">
        <v>20.6</v>
      </c>
      <c r="X7" s="166">
        <f>U7/1</f>
        <v>1</v>
      </c>
      <c r="Y7" s="166" t="s">
        <v>88</v>
      </c>
      <c r="Z7" s="167">
        <f>W7*X7</f>
        <v>20.6</v>
      </c>
      <c r="AA7" s="168">
        <v>1</v>
      </c>
      <c r="AB7" s="169">
        <f>Z7/X2</f>
        <v>0.41200000000000003</v>
      </c>
      <c r="AC7" s="170">
        <f>X2*AB7</f>
        <v>20.6</v>
      </c>
      <c r="AD7" s="103"/>
      <c r="AE7" s="103"/>
      <c r="AF7" s="103"/>
    </row>
    <row r="8" spans="1:32" ht="19.5" customHeight="1">
      <c r="A8" s="431" t="s">
        <v>254</v>
      </c>
      <c r="B8" s="432"/>
      <c r="C8" s="432"/>
      <c r="D8" s="433"/>
      <c r="E8" s="434" t="s">
        <v>255</v>
      </c>
      <c r="F8" s="435"/>
      <c r="G8" s="91">
        <v>3</v>
      </c>
      <c r="H8" s="432" t="s">
        <v>256</v>
      </c>
      <c r="I8" s="483"/>
      <c r="J8" s="483"/>
      <c r="K8" s="483"/>
      <c r="L8" s="483"/>
      <c r="M8" s="484"/>
      <c r="N8" s="429" t="str">
        <f t="shared" si="0"/>
        <v>Mozzarella Cheese, thinly sliced</v>
      </c>
      <c r="O8" s="430"/>
      <c r="P8" s="430"/>
      <c r="Q8" s="430"/>
      <c r="R8" s="79">
        <v>0.4</v>
      </c>
      <c r="S8" s="161" t="s">
        <v>106</v>
      </c>
      <c r="T8" s="162">
        <f>X2*R8</f>
        <v>20</v>
      </c>
      <c r="U8" s="172">
        <f>(X2*R8)/AA8</f>
        <v>20</v>
      </c>
      <c r="V8" s="164" t="s">
        <v>228</v>
      </c>
      <c r="W8" s="165">
        <v>2.54</v>
      </c>
      <c r="X8" s="166">
        <f>U8/1</f>
        <v>20</v>
      </c>
      <c r="Y8" s="166" t="s">
        <v>106</v>
      </c>
      <c r="Z8" s="167">
        <f>(W8/16)*X8</f>
        <v>3.175</v>
      </c>
      <c r="AA8" s="168">
        <v>1</v>
      </c>
      <c r="AB8" s="169">
        <f>Z8/X2</f>
        <v>0.0635</v>
      </c>
      <c r="AC8" s="170">
        <f>X2*AB8</f>
        <v>3.175</v>
      </c>
      <c r="AD8" s="103"/>
      <c r="AE8" s="103"/>
      <c r="AF8" s="103"/>
    </row>
    <row r="9" spans="1:32" ht="30" customHeight="1">
      <c r="A9" s="431" t="s">
        <v>257</v>
      </c>
      <c r="B9" s="432"/>
      <c r="C9" s="432"/>
      <c r="D9" s="433"/>
      <c r="E9" s="436" t="s">
        <v>258</v>
      </c>
      <c r="F9" s="435"/>
      <c r="G9" s="91">
        <v>4</v>
      </c>
      <c r="H9" s="432" t="s">
        <v>259</v>
      </c>
      <c r="I9" s="483"/>
      <c r="J9" s="483"/>
      <c r="K9" s="483"/>
      <c r="L9" s="483"/>
      <c r="M9" s="484"/>
      <c r="N9" s="429" t="str">
        <f t="shared" si="0"/>
        <v>cappocolo, culatello, or other cured Italian Ham, thinly sliced</v>
      </c>
      <c r="O9" s="430"/>
      <c r="P9" s="430"/>
      <c r="Q9" s="430"/>
      <c r="R9" s="79">
        <v>0.6</v>
      </c>
      <c r="S9" s="161" t="s">
        <v>106</v>
      </c>
      <c r="T9" s="162">
        <f>X2*R9</f>
        <v>30</v>
      </c>
      <c r="U9" s="172">
        <f>(X2*R9)/AA9</f>
        <v>30</v>
      </c>
      <c r="V9" s="164" t="s">
        <v>228</v>
      </c>
      <c r="W9" s="165">
        <v>2.94</v>
      </c>
      <c r="X9" s="166">
        <f>(U9/16)/1</f>
        <v>1.875</v>
      </c>
      <c r="Y9" s="166" t="s">
        <v>80</v>
      </c>
      <c r="Z9" s="167">
        <f>W9*X9</f>
        <v>5.5125</v>
      </c>
      <c r="AA9" s="168">
        <v>1</v>
      </c>
      <c r="AB9" s="169">
        <f>Z9/X2</f>
        <v>0.11025</v>
      </c>
      <c r="AC9" s="170">
        <f>X2*AB9</f>
        <v>5.5125</v>
      </c>
      <c r="AD9" s="103"/>
      <c r="AE9" s="103"/>
      <c r="AF9" s="103"/>
    </row>
    <row r="10" spans="1:32" ht="18.75" customHeight="1">
      <c r="A10" s="431" t="s">
        <v>260</v>
      </c>
      <c r="B10" s="432"/>
      <c r="C10" s="432"/>
      <c r="D10" s="433"/>
      <c r="E10" s="436" t="s">
        <v>255</v>
      </c>
      <c r="F10" s="435"/>
      <c r="G10" s="91"/>
      <c r="H10" s="432" t="s">
        <v>261</v>
      </c>
      <c r="I10" s="494"/>
      <c r="J10" s="494"/>
      <c r="K10" s="494"/>
      <c r="L10" s="494"/>
      <c r="M10" s="495"/>
      <c r="N10" s="429" t="str">
        <f t="shared" si="0"/>
        <v>Genoa Salami, thinly sliced</v>
      </c>
      <c r="O10" s="430"/>
      <c r="P10" s="430"/>
      <c r="Q10" s="430"/>
      <c r="R10" s="174">
        <v>0.4</v>
      </c>
      <c r="S10" s="161" t="s">
        <v>106</v>
      </c>
      <c r="T10" s="162">
        <f>X2*R10</f>
        <v>20</v>
      </c>
      <c r="U10" s="172">
        <f>(X2*R10)/AA10</f>
        <v>20</v>
      </c>
      <c r="V10" s="164" t="s">
        <v>228</v>
      </c>
      <c r="W10" s="165">
        <v>3</v>
      </c>
      <c r="X10" s="166">
        <f>U10/16</f>
        <v>1.25</v>
      </c>
      <c r="Y10" s="166" t="s">
        <v>80</v>
      </c>
      <c r="Z10" s="167">
        <f>W10*X10</f>
        <v>3.75</v>
      </c>
      <c r="AA10" s="168">
        <v>1</v>
      </c>
      <c r="AB10" s="169">
        <f>Z10/X2</f>
        <v>0.075</v>
      </c>
      <c r="AC10" s="170">
        <f>X2*AB10</f>
        <v>3.75</v>
      </c>
      <c r="AD10" s="103"/>
      <c r="AE10" s="103"/>
      <c r="AF10" s="103"/>
    </row>
    <row r="11" spans="1:32" ht="18.75" customHeight="1">
      <c r="A11" s="431" t="s">
        <v>262</v>
      </c>
      <c r="B11" s="432"/>
      <c r="C11" s="432"/>
      <c r="D11" s="433"/>
      <c r="E11" s="436" t="s">
        <v>255</v>
      </c>
      <c r="F11" s="435"/>
      <c r="G11" s="91">
        <v>5</v>
      </c>
      <c r="H11" s="432" t="s">
        <v>263</v>
      </c>
      <c r="I11" s="494"/>
      <c r="J11" s="494"/>
      <c r="K11" s="494"/>
      <c r="L11" s="494"/>
      <c r="M11" s="495"/>
      <c r="N11" s="438" t="str">
        <f t="shared" si="0"/>
        <v>Mortadella, thinly sliced </v>
      </c>
      <c r="O11" s="439"/>
      <c r="P11" s="439"/>
      <c r="Q11" s="439"/>
      <c r="R11" s="79">
        <v>0.4</v>
      </c>
      <c r="S11" s="161" t="s">
        <v>106</v>
      </c>
      <c r="T11" s="162">
        <f>X2*R11</f>
        <v>20</v>
      </c>
      <c r="U11" s="172">
        <f>(X2*R11)/AA11</f>
        <v>20</v>
      </c>
      <c r="V11" s="233" t="s">
        <v>228</v>
      </c>
      <c r="W11" s="165">
        <v>2.79</v>
      </c>
      <c r="X11" s="166">
        <f>U11/16</f>
        <v>1.25</v>
      </c>
      <c r="Y11" s="166" t="s">
        <v>80</v>
      </c>
      <c r="Z11" s="167">
        <f>(W11)*X11</f>
        <v>3.4875</v>
      </c>
      <c r="AA11" s="168">
        <v>1</v>
      </c>
      <c r="AB11" s="169">
        <f>Z11/X2</f>
        <v>0.06974999999999999</v>
      </c>
      <c r="AC11" s="170">
        <f>X2*AB11</f>
        <v>3.4875</v>
      </c>
      <c r="AD11" s="103"/>
      <c r="AE11" s="103"/>
      <c r="AF11" s="103"/>
    </row>
    <row r="12" spans="1:32" ht="30.75" customHeight="1">
      <c r="A12" s="431" t="s">
        <v>264</v>
      </c>
      <c r="B12" s="432"/>
      <c r="C12" s="432"/>
      <c r="D12" s="433"/>
      <c r="E12" s="436" t="s">
        <v>265</v>
      </c>
      <c r="F12" s="435"/>
      <c r="G12" s="91"/>
      <c r="H12" s="432" t="s">
        <v>266</v>
      </c>
      <c r="I12" s="494"/>
      <c r="J12" s="494"/>
      <c r="K12" s="494"/>
      <c r="L12" s="494"/>
      <c r="M12" s="495"/>
      <c r="N12" s="431" t="str">
        <f t="shared" si="0"/>
        <v>Pepperoni, peppered salami, or other spiced hard sausage, thinly sliced</v>
      </c>
      <c r="O12" s="437"/>
      <c r="P12" s="437"/>
      <c r="Q12" s="437"/>
      <c r="R12" s="232">
        <v>0.2</v>
      </c>
      <c r="S12" s="161" t="s">
        <v>106</v>
      </c>
      <c r="T12" s="162">
        <f>X2*R12</f>
        <v>10</v>
      </c>
      <c r="U12" s="172">
        <f>(X2*R12)/AA12</f>
        <v>10</v>
      </c>
      <c r="V12" s="234" t="s">
        <v>228</v>
      </c>
      <c r="W12" s="165">
        <v>2.6</v>
      </c>
      <c r="X12" s="166">
        <f>U12/16</f>
        <v>0.625</v>
      </c>
      <c r="Y12" s="166" t="s">
        <v>80</v>
      </c>
      <c r="Z12" s="167">
        <f>(W12)*X12</f>
        <v>1.625</v>
      </c>
      <c r="AA12" s="168">
        <v>1</v>
      </c>
      <c r="AB12" s="169">
        <f>Z12/X2</f>
        <v>0.0325</v>
      </c>
      <c r="AC12" s="170">
        <f>X2*AB12</f>
        <v>1.625</v>
      </c>
      <c r="AD12" s="103"/>
      <c r="AE12" s="103"/>
      <c r="AF12" s="103"/>
    </row>
    <row r="13" spans="1:32" ht="18.75" customHeight="1">
      <c r="A13" s="431" t="s">
        <v>267</v>
      </c>
      <c r="B13" s="432"/>
      <c r="C13" s="432"/>
      <c r="D13" s="433"/>
      <c r="E13" s="434" t="s">
        <v>255</v>
      </c>
      <c r="F13" s="435"/>
      <c r="G13" s="91">
        <v>6</v>
      </c>
      <c r="H13" s="432" t="s">
        <v>268</v>
      </c>
      <c r="I13" s="483"/>
      <c r="J13" s="483"/>
      <c r="K13" s="483"/>
      <c r="L13" s="483"/>
      <c r="M13" s="484"/>
      <c r="N13" s="429" t="str">
        <f t="shared" si="0"/>
        <v>Provolone or fontina cheese, thinly sliced</v>
      </c>
      <c r="O13" s="430"/>
      <c r="P13" s="430"/>
      <c r="Q13" s="430"/>
      <c r="R13" s="79">
        <v>0.4</v>
      </c>
      <c r="S13" s="161" t="s">
        <v>106</v>
      </c>
      <c r="T13" s="162">
        <f>X2*R13</f>
        <v>20</v>
      </c>
      <c r="U13" s="172">
        <f>(X2*R13)/AA13</f>
        <v>20</v>
      </c>
      <c r="V13" s="164" t="s">
        <v>269</v>
      </c>
      <c r="W13" s="165">
        <v>28.23</v>
      </c>
      <c r="X13" s="166">
        <f>U13/16</f>
        <v>1.25</v>
      </c>
      <c r="Y13" s="166" t="s">
        <v>80</v>
      </c>
      <c r="Z13" s="167">
        <f>(W13/6/1.5)*X13</f>
        <v>3.9208333333333334</v>
      </c>
      <c r="AA13" s="168">
        <v>1</v>
      </c>
      <c r="AB13" s="169">
        <f>Z13/X2</f>
        <v>0.07841666666666666</v>
      </c>
      <c r="AC13" s="170">
        <f>X2*AB13</f>
        <v>3.920833333333333</v>
      </c>
      <c r="AD13" s="103"/>
      <c r="AE13" s="103"/>
      <c r="AF13" s="103"/>
    </row>
    <row r="14" spans="1:32" ht="18.75" customHeight="1">
      <c r="A14" s="431"/>
      <c r="B14" s="432"/>
      <c r="C14" s="432"/>
      <c r="D14" s="433"/>
      <c r="E14" s="434"/>
      <c r="F14" s="435"/>
      <c r="G14" s="91"/>
      <c r="H14" s="432" t="s">
        <v>270</v>
      </c>
      <c r="I14" s="483"/>
      <c r="J14" s="483"/>
      <c r="K14" s="483"/>
      <c r="L14" s="483"/>
      <c r="M14" s="484"/>
      <c r="N14" s="429">
        <f t="shared" si="0"/>
        <v>0</v>
      </c>
      <c r="O14" s="430"/>
      <c r="P14" s="430"/>
      <c r="Q14" s="430"/>
      <c r="R14" s="79"/>
      <c r="S14" s="161"/>
      <c r="T14" s="162">
        <f>X2*R14</f>
        <v>0</v>
      </c>
      <c r="U14" s="172">
        <f>(X2*R14)/AA14</f>
        <v>0</v>
      </c>
      <c r="V14" s="164"/>
      <c r="W14" s="165"/>
      <c r="X14" s="166">
        <f>U14/1</f>
        <v>0</v>
      </c>
      <c r="Y14" s="166"/>
      <c r="Z14" s="167">
        <f>(W14/5)*X14</f>
        <v>0</v>
      </c>
      <c r="AA14" s="168">
        <v>1</v>
      </c>
      <c r="AB14" s="169">
        <f>Z14/X2</f>
        <v>0</v>
      </c>
      <c r="AC14" s="170">
        <f>X2*AB14</f>
        <v>0</v>
      </c>
      <c r="AD14" s="103"/>
      <c r="AE14" s="103"/>
      <c r="AF14" s="103"/>
    </row>
    <row r="15" spans="1:32" ht="18.75" customHeight="1">
      <c r="A15" s="431"/>
      <c r="B15" s="432"/>
      <c r="C15" s="432"/>
      <c r="D15" s="433"/>
      <c r="E15" s="434"/>
      <c r="F15" s="435"/>
      <c r="G15" s="91">
        <v>7</v>
      </c>
      <c r="H15" s="432" t="s">
        <v>271</v>
      </c>
      <c r="I15" s="483"/>
      <c r="J15" s="483"/>
      <c r="K15" s="483"/>
      <c r="L15" s="483"/>
      <c r="M15" s="484"/>
      <c r="N15" s="429">
        <f t="shared" si="0"/>
        <v>0</v>
      </c>
      <c r="O15" s="430"/>
      <c r="P15" s="430"/>
      <c r="Q15" s="430"/>
      <c r="R15" s="79"/>
      <c r="S15" s="161"/>
      <c r="T15" s="162">
        <f>X2*R15</f>
        <v>0</v>
      </c>
      <c r="U15" s="172">
        <f>(X2*R15)/AA15</f>
        <v>0</v>
      </c>
      <c r="V15" s="164"/>
      <c r="W15" s="165"/>
      <c r="X15" s="166">
        <f>U15/1</f>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c r="H16" s="432"/>
      <c r="I16" s="483"/>
      <c r="J16" s="483"/>
      <c r="K16" s="483"/>
      <c r="L16" s="483"/>
      <c r="M16" s="484"/>
      <c r="N16" s="429">
        <f t="shared" si="0"/>
        <v>0</v>
      </c>
      <c r="O16" s="430"/>
      <c r="P16" s="430"/>
      <c r="Q16" s="430"/>
      <c r="R16" s="79"/>
      <c r="S16" s="161"/>
      <c r="T16" s="162">
        <f>X2*R16</f>
        <v>0</v>
      </c>
      <c r="U16" s="172">
        <f>(X2*R16)/AA16</f>
        <v>0</v>
      </c>
      <c r="V16" s="164"/>
      <c r="W16" s="165"/>
      <c r="X16" s="166">
        <f>U16/1</f>
        <v>0</v>
      </c>
      <c r="Y16" s="166"/>
      <c r="Z16" s="167">
        <f>W16*X16</f>
        <v>0</v>
      </c>
      <c r="AA16" s="168">
        <v>1</v>
      </c>
      <c r="AB16" s="169">
        <f>Z16/X2</f>
        <v>0</v>
      </c>
      <c r="AC16" s="170">
        <f>X2*AB16</f>
        <v>0</v>
      </c>
      <c r="AD16" s="103"/>
      <c r="AE16" s="103"/>
      <c r="AF16" s="103"/>
    </row>
    <row r="17" spans="1:32" ht="18.75" customHeight="1">
      <c r="A17" s="431"/>
      <c r="B17" s="432"/>
      <c r="C17" s="432"/>
      <c r="D17" s="433"/>
      <c r="E17" s="434"/>
      <c r="F17" s="435"/>
      <c r="G17" s="91"/>
      <c r="H17" s="432"/>
      <c r="I17" s="483"/>
      <c r="J17" s="483"/>
      <c r="K17" s="483"/>
      <c r="L17" s="483"/>
      <c r="M17" s="484"/>
      <c r="N17" s="429">
        <f t="shared" si="0"/>
        <v>0</v>
      </c>
      <c r="O17" s="430"/>
      <c r="P17" s="430"/>
      <c r="Q17" s="430"/>
      <c r="R17" s="79"/>
      <c r="S17" s="161"/>
      <c r="T17" s="162">
        <f>X2*R17</f>
        <v>0</v>
      </c>
      <c r="U17" s="172">
        <f>(X2*R17)/AA17</f>
        <v>0</v>
      </c>
      <c r="V17" s="164"/>
      <c r="W17" s="165"/>
      <c r="X17" s="166">
        <f>U17/1</f>
        <v>0</v>
      </c>
      <c r="Y17" s="166"/>
      <c r="Z17" s="167">
        <f>W17*X17</f>
        <v>0</v>
      </c>
      <c r="AA17" s="168">
        <v>1</v>
      </c>
      <c r="AB17" s="169">
        <f>Z17/X2</f>
        <v>0</v>
      </c>
      <c r="AC17" s="170">
        <f>X2*AB17</f>
        <v>0</v>
      </c>
      <c r="AD17" s="103"/>
      <c r="AE17" s="103"/>
      <c r="AF17" s="103"/>
    </row>
    <row r="18" spans="1:32" ht="18.75" customHeight="1">
      <c r="A18" s="431"/>
      <c r="B18" s="432"/>
      <c r="C18" s="432"/>
      <c r="D18" s="433"/>
      <c r="E18" s="434"/>
      <c r="F18" s="435"/>
      <c r="G18" s="91"/>
      <c r="H18" s="432"/>
      <c r="I18" s="483"/>
      <c r="J18" s="483"/>
      <c r="K18" s="483"/>
      <c r="L18" s="483"/>
      <c r="M18" s="484"/>
      <c r="N18" s="429">
        <f t="shared" si="0"/>
        <v>0</v>
      </c>
      <c r="O18" s="430"/>
      <c r="P18" s="430"/>
      <c r="Q18" s="430"/>
      <c r="R18" s="79"/>
      <c r="S18" s="161"/>
      <c r="T18" s="162">
        <f>X2*R18</f>
        <v>0</v>
      </c>
      <c r="U18" s="177">
        <f>(X2*R18)/AA18</f>
        <v>0</v>
      </c>
      <c r="V18" s="164"/>
      <c r="W18" s="165"/>
      <c r="X18" s="166">
        <f>U18/20</f>
        <v>0</v>
      </c>
      <c r="Y18" s="166"/>
      <c r="Z18" s="167">
        <f>W18*X18</f>
        <v>0</v>
      </c>
      <c r="AA18" s="168">
        <v>1</v>
      </c>
      <c r="AB18" s="169">
        <f>Z18/X2</f>
        <v>0</v>
      </c>
      <c r="AC18" s="170">
        <f>X2*AB18</f>
        <v>0</v>
      </c>
      <c r="AD18" s="103"/>
      <c r="AE18" s="103"/>
      <c r="AF18" s="103"/>
    </row>
    <row r="19" spans="1:32" ht="18.75" customHeight="1">
      <c r="A19" s="431"/>
      <c r="B19" s="432"/>
      <c r="C19" s="432"/>
      <c r="D19" s="433"/>
      <c r="E19" s="434"/>
      <c r="F19" s="435"/>
      <c r="G19" s="91"/>
      <c r="H19" s="432"/>
      <c r="I19" s="483"/>
      <c r="J19" s="483"/>
      <c r="K19" s="483"/>
      <c r="L19" s="483"/>
      <c r="M19" s="484"/>
      <c r="N19" s="429">
        <f t="shared" si="0"/>
        <v>0</v>
      </c>
      <c r="O19" s="430"/>
      <c r="P19" s="430"/>
      <c r="Q19" s="430"/>
      <c r="R19" s="79"/>
      <c r="S19" s="161"/>
      <c r="T19" s="162">
        <f>X2*R19</f>
        <v>0</v>
      </c>
      <c r="U19" s="177">
        <f>(X2*R19)/AA19</f>
        <v>0</v>
      </c>
      <c r="V19" s="164"/>
      <c r="W19" s="165"/>
      <c r="X19" s="166">
        <f>U19/50</f>
        <v>0</v>
      </c>
      <c r="Y19" s="166"/>
      <c r="Z19" s="167">
        <f>W19*X19</f>
        <v>0</v>
      </c>
      <c r="AA19" s="168">
        <v>1</v>
      </c>
      <c r="AB19" s="169">
        <f>Z19/X2</f>
        <v>0</v>
      </c>
      <c r="AC19" s="170">
        <f>X2*AB19</f>
        <v>0</v>
      </c>
      <c r="AD19" s="103"/>
      <c r="AE19" s="103"/>
      <c r="AF19" s="103"/>
    </row>
    <row r="20" spans="1:32" ht="25.5" customHeight="1">
      <c r="A20" s="431"/>
      <c r="B20" s="432"/>
      <c r="C20" s="432"/>
      <c r="D20" s="433"/>
      <c r="E20" s="434"/>
      <c r="F20" s="435"/>
      <c r="G20" s="91"/>
      <c r="H20" s="432"/>
      <c r="I20" s="483"/>
      <c r="J20" s="483"/>
      <c r="K20" s="483"/>
      <c r="L20" s="483"/>
      <c r="M20" s="484"/>
      <c r="N20" s="429">
        <f t="shared" si="0"/>
        <v>0</v>
      </c>
      <c r="O20" s="430"/>
      <c r="P20" s="430"/>
      <c r="Q20" s="430"/>
      <c r="R20" s="79"/>
      <c r="S20" s="161"/>
      <c r="T20" s="162">
        <f>X2*R20</f>
        <v>0</v>
      </c>
      <c r="U20" s="177">
        <f>(X2*R20)/AA20</f>
        <v>0</v>
      </c>
      <c r="V20" s="164"/>
      <c r="W20" s="165"/>
      <c r="X20" s="166">
        <f>U20/1</f>
        <v>0</v>
      </c>
      <c r="Y20" s="166"/>
      <c r="Z20" s="167">
        <f>W20*X20</f>
        <v>0</v>
      </c>
      <c r="AA20" s="168">
        <v>1</v>
      </c>
      <c r="AB20" s="169">
        <f>Z20/X2</f>
        <v>0</v>
      </c>
      <c r="AC20" s="170">
        <f>X2*AB20</f>
        <v>0</v>
      </c>
      <c r="AD20" s="103"/>
      <c r="AE20" s="103"/>
      <c r="AF20" s="103"/>
    </row>
    <row r="21" spans="1:32" ht="18.75" customHeight="1" thickBot="1">
      <c r="A21" s="487"/>
      <c r="B21" s="488"/>
      <c r="C21" s="488"/>
      <c r="D21" s="489"/>
      <c r="E21" s="434"/>
      <c r="F21" s="435"/>
      <c r="G21" s="110"/>
      <c r="H21" s="488"/>
      <c r="I21" s="490"/>
      <c r="J21" s="490"/>
      <c r="K21" s="490"/>
      <c r="L21" s="490"/>
      <c r="M21" s="491"/>
      <c r="N21" s="485"/>
      <c r="O21" s="486"/>
      <c r="P21" s="486"/>
      <c r="Q21" s="486"/>
      <c r="R21" s="104"/>
      <c r="S21" s="93"/>
      <c r="T21" s="94"/>
      <c r="U21" s="109"/>
      <c r="V21" s="96"/>
      <c r="W21" s="97"/>
      <c r="X21" s="94"/>
      <c r="Y21" s="94"/>
      <c r="Z21" s="99"/>
      <c r="AA21" s="106"/>
      <c r="AB21" s="101"/>
      <c r="AC21" s="107"/>
      <c r="AD21" s="103"/>
      <c r="AE21" s="103"/>
      <c r="AF21" s="103"/>
    </row>
    <row r="22" spans="1:32" ht="25.5" customHeight="1" thickBot="1">
      <c r="A22" s="111"/>
      <c r="B22" s="112"/>
      <c r="C22" s="112"/>
      <c r="D22" s="112"/>
      <c r="E22" s="112"/>
      <c r="F22" s="112"/>
      <c r="G22" s="112"/>
      <c r="H22" s="112"/>
      <c r="I22" s="112"/>
      <c r="J22" s="112"/>
      <c r="K22" s="113"/>
      <c r="L22" s="282"/>
      <c r="M22" s="282"/>
      <c r="N22" s="422" t="s">
        <v>47</v>
      </c>
      <c r="O22" s="423"/>
      <c r="P22" s="423"/>
      <c r="Q22" s="424"/>
      <c r="R22" s="425" t="s">
        <v>7</v>
      </c>
      <c r="S22" s="424"/>
      <c r="T22" s="424"/>
      <c r="U22" s="424"/>
      <c r="V22" s="424"/>
      <c r="W22" s="424"/>
      <c r="X22" s="424"/>
      <c r="Y22" s="424"/>
      <c r="Z22" s="424"/>
      <c r="AA22" s="424"/>
      <c r="AB22" s="424"/>
      <c r="AC22" s="115">
        <f>ROUNDUP(SUM(AC6:AC21),5)</f>
        <v>55.4375</v>
      </c>
      <c r="AD22" s="103"/>
      <c r="AE22" s="103"/>
      <c r="AF22" s="103"/>
    </row>
    <row r="23" spans="1:32" ht="20.25" customHeight="1">
      <c r="A23" s="478" t="s">
        <v>45</v>
      </c>
      <c r="B23" s="479"/>
      <c r="C23" s="479"/>
      <c r="D23" s="479"/>
      <c r="E23" s="479"/>
      <c r="F23" s="479"/>
      <c r="G23" s="479"/>
      <c r="H23" s="479"/>
      <c r="I23" s="479"/>
      <c r="J23" s="479"/>
      <c r="K23" s="480"/>
      <c r="L23" s="284"/>
      <c r="M23" s="284"/>
      <c r="N23" s="524"/>
      <c r="O23" s="525"/>
      <c r="P23" s="525"/>
      <c r="Q23" s="525"/>
      <c r="R23" s="134"/>
      <c r="S23" s="134"/>
      <c r="T23" s="134"/>
      <c r="U23" s="134"/>
      <c r="V23" s="134"/>
      <c r="W23" s="135" t="s">
        <v>9</v>
      </c>
      <c r="X23" s="135"/>
      <c r="Y23" s="135"/>
      <c r="Z23" s="135"/>
      <c r="AA23" s="135"/>
      <c r="AB23" s="135"/>
      <c r="AC23" s="117">
        <f>ROUND(AC22*10/100,5)</f>
        <v>5.54375</v>
      </c>
      <c r="AD23" s="103"/>
      <c r="AE23" s="103"/>
      <c r="AF23" s="103"/>
    </row>
    <row r="24" spans="1:32" ht="30" customHeight="1" thickBot="1">
      <c r="A24" s="409" t="s">
        <v>42</v>
      </c>
      <c r="B24" s="481"/>
      <c r="C24" s="481"/>
      <c r="D24" s="481"/>
      <c r="E24" s="481"/>
      <c r="F24" s="279"/>
      <c r="G24" s="411" t="s">
        <v>46</v>
      </c>
      <c r="H24" s="411"/>
      <c r="I24" s="411" t="s">
        <v>244</v>
      </c>
      <c r="J24" s="481"/>
      <c r="K24" s="482"/>
      <c r="L24" s="279"/>
      <c r="M24" s="279"/>
      <c r="N24" s="119"/>
      <c r="O24" s="281"/>
      <c r="P24" s="507"/>
      <c r="Q24" s="507"/>
      <c r="R24" s="138"/>
      <c r="S24" s="138"/>
      <c r="T24" s="138"/>
      <c r="U24" s="138"/>
      <c r="V24" s="138"/>
      <c r="W24" s="139" t="s">
        <v>6</v>
      </c>
      <c r="X24" s="139"/>
      <c r="Y24" s="139"/>
      <c r="Z24" s="139"/>
      <c r="AA24" s="139"/>
      <c r="AB24" s="139"/>
      <c r="AC24" s="120">
        <f>AC22+AC23</f>
        <v>60.98125</v>
      </c>
      <c r="AD24" s="103"/>
      <c r="AE24" s="103"/>
      <c r="AF24" s="103"/>
    </row>
    <row r="25" spans="18:32" ht="7.5" customHeight="1" thickBot="1">
      <c r="R25" s="399"/>
      <c r="S25" s="399"/>
      <c r="T25" s="274"/>
      <c r="U25" s="274"/>
      <c r="V25" s="274"/>
      <c r="W25" s="274"/>
      <c r="X25" s="274"/>
      <c r="Y25" s="274"/>
      <c r="Z25" s="274"/>
      <c r="AA25" s="283"/>
      <c r="AB25" s="283"/>
      <c r="AC25" s="283"/>
      <c r="AD25" s="70"/>
      <c r="AE25" s="70"/>
      <c r="AF25" s="70"/>
    </row>
    <row r="26" spans="1:32" ht="20.25" customHeight="1">
      <c r="A26" s="273" t="s">
        <v>35</v>
      </c>
      <c r="B26" s="393" t="s">
        <v>36</v>
      </c>
      <c r="C26" s="393"/>
      <c r="D26" s="63" t="s">
        <v>37</v>
      </c>
      <c r="E26" s="63" t="s">
        <v>38</v>
      </c>
      <c r="F26" s="63" t="s">
        <v>39</v>
      </c>
      <c r="G26" s="393" t="s">
        <v>40</v>
      </c>
      <c r="H26" s="393"/>
      <c r="I26" s="393" t="s">
        <v>41</v>
      </c>
      <c r="J26" s="393"/>
      <c r="K26" s="393" t="s">
        <v>52</v>
      </c>
      <c r="L26" s="393"/>
      <c r="M26" s="273" t="s">
        <v>135</v>
      </c>
      <c r="N26" s="401" t="s">
        <v>5</v>
      </c>
      <c r="O26" s="401"/>
      <c r="P26" s="401"/>
      <c r="Q26" s="282"/>
      <c r="R26" s="402"/>
      <c r="S26" s="403"/>
      <c r="T26" s="275"/>
      <c r="U26" s="275"/>
      <c r="V26" s="275"/>
      <c r="W26" s="391" t="s">
        <v>68</v>
      </c>
      <c r="X26" s="392"/>
      <c r="Y26" s="392"/>
      <c r="Z26" s="392"/>
      <c r="AA26" s="189"/>
      <c r="AB26" s="189"/>
      <c r="AC26" s="190">
        <f>AC24/X2</f>
        <v>1.219625</v>
      </c>
      <c r="AD26" s="122"/>
      <c r="AE26" s="122"/>
      <c r="AF26" s="122"/>
    </row>
    <row r="27" spans="1:32" ht="37.5" customHeight="1">
      <c r="A27" s="273"/>
      <c r="B27" s="393"/>
      <c r="C27" s="393"/>
      <c r="D27" s="63"/>
      <c r="E27" s="63"/>
      <c r="F27" s="63"/>
      <c r="G27" s="393"/>
      <c r="H27" s="393"/>
      <c r="I27" s="393"/>
      <c r="J27" s="393"/>
      <c r="K27" s="393"/>
      <c r="L27" s="393"/>
      <c r="M27" s="235">
        <f ca="1">NOW()</f>
        <v>41359.56477372685</v>
      </c>
      <c r="N27" s="236" t="s">
        <v>19</v>
      </c>
      <c r="O27" s="192" t="s">
        <v>20</v>
      </c>
      <c r="P27" s="192" t="s">
        <v>21</v>
      </c>
      <c r="Q27" s="192" t="s">
        <v>22</v>
      </c>
      <c r="R27" s="395" t="s">
        <v>8</v>
      </c>
      <c r="S27" s="396"/>
      <c r="T27" s="195"/>
      <c r="U27" s="195"/>
      <c r="V27" s="195"/>
      <c r="W27" s="526" t="s">
        <v>69</v>
      </c>
      <c r="X27" s="527"/>
      <c r="Y27" s="237"/>
      <c r="Z27" s="237"/>
      <c r="AA27" s="272" t="s">
        <v>23</v>
      </c>
      <c r="AB27" s="385" t="s">
        <v>24</v>
      </c>
      <c r="AC27" s="386"/>
      <c r="AD27" s="122"/>
      <c r="AE27" s="122"/>
      <c r="AF27" s="122"/>
    </row>
    <row r="28" spans="14:29" ht="19.5" customHeight="1" thickBot="1">
      <c r="N28" s="123">
        <v>1</v>
      </c>
      <c r="O28" s="124"/>
      <c r="P28" s="125">
        <f>AC24</f>
        <v>60.98125</v>
      </c>
      <c r="Q28" s="126">
        <v>0</v>
      </c>
      <c r="R28" s="387">
        <f>P28+Q28</f>
        <v>60.98125</v>
      </c>
      <c r="S28" s="388"/>
      <c r="T28" s="127"/>
      <c r="U28" s="128"/>
      <c r="V28" s="128"/>
      <c r="W28" s="119"/>
      <c r="X28" s="129">
        <f>AC26/AA28</f>
        <v>4.065416666666667</v>
      </c>
      <c r="Y28" s="129"/>
      <c r="Z28" s="129"/>
      <c r="AA28" s="130">
        <v>0.3</v>
      </c>
      <c r="AB28" s="389">
        <f ca="1">NOW()</f>
        <v>41359.56477372685</v>
      </c>
      <c r="AC28" s="390"/>
    </row>
  </sheetData>
  <sheetProtection/>
  <mergeCells count="104">
    <mergeCell ref="AB27:AC27"/>
    <mergeCell ref="R28:S28"/>
    <mergeCell ref="AB28:AC28"/>
    <mergeCell ref="W26:Z26"/>
    <mergeCell ref="B27:C27"/>
    <mergeCell ref="G27:H27"/>
    <mergeCell ref="I27:J27"/>
    <mergeCell ref="K27:L27"/>
    <mergeCell ref="R27:S27"/>
    <mergeCell ref="W27:X27"/>
    <mergeCell ref="R25:S25"/>
    <mergeCell ref="B26:C26"/>
    <mergeCell ref="G26:H26"/>
    <mergeCell ref="I26:J26"/>
    <mergeCell ref="K26:L26"/>
    <mergeCell ref="N26:P26"/>
    <mergeCell ref="R26:S26"/>
    <mergeCell ref="A23:K23"/>
    <mergeCell ref="N23:Q23"/>
    <mergeCell ref="A24:E24"/>
    <mergeCell ref="G24:H24"/>
    <mergeCell ref="I24:K24"/>
    <mergeCell ref="P24:Q24"/>
    <mergeCell ref="A21:D21"/>
    <mergeCell ref="E21:F21"/>
    <mergeCell ref="H21:M21"/>
    <mergeCell ref="N21:Q21"/>
    <mergeCell ref="N22:Q22"/>
    <mergeCell ref="R22:AB22"/>
    <mergeCell ref="A20:D20"/>
    <mergeCell ref="E20:F20"/>
    <mergeCell ref="H20:M20"/>
    <mergeCell ref="N20:Q20"/>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I3:K3"/>
    <mergeCell ref="A1:K1"/>
    <mergeCell ref="N1:AC1"/>
    <mergeCell ref="A2:B2"/>
    <mergeCell ref="C2:G2"/>
    <mergeCell ref="N2:O2"/>
    <mergeCell ref="P2:T2"/>
    <mergeCell ref="AA2:AC2"/>
  </mergeCells>
  <hyperlinks>
    <hyperlink ref="M1" location="'Menu List'!A1" display="BACK TO THE MENU LIST"/>
    <hyperlink ref="A7:D7" location="'Olive Salad'!A1" display="Olive Salad -- see recipe or Italian Olive Salad "/>
  </hyperlinks>
  <printOptions/>
  <pageMargins left="0.7" right="0.7" top="0.75" bottom="0.75" header="0.3" footer="0.3"/>
  <pageSetup horizontalDpi="600" verticalDpi="600" orientation="landscape" scale="79"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80" customWidth="1"/>
    <col min="2" max="3" width="9.140625" style="280" customWidth="1"/>
    <col min="4" max="4" width="10.8515625" style="280" customWidth="1"/>
    <col min="5" max="5" width="9.140625" style="280" customWidth="1"/>
    <col min="6" max="6" width="11.421875" style="280" customWidth="1"/>
    <col min="7" max="7" width="4.8515625" style="280" customWidth="1"/>
    <col min="8" max="8" width="8.57421875" style="280" customWidth="1"/>
    <col min="9" max="9" width="9.8515625" style="280" customWidth="1"/>
    <col min="10" max="10" width="8.57421875" style="280" customWidth="1"/>
    <col min="11" max="12" width="13.7109375" style="280" customWidth="1"/>
    <col min="13" max="13" width="38.8515625" style="280" customWidth="1"/>
    <col min="14" max="16" width="9.140625" style="280" customWidth="1"/>
    <col min="17" max="17" width="11.8515625" style="280" customWidth="1"/>
    <col min="18" max="18" width="9.57421875" style="280" customWidth="1"/>
    <col min="19" max="19" width="8.140625" style="280" customWidth="1"/>
    <col min="20" max="20" width="10.421875" style="280" customWidth="1"/>
    <col min="21" max="21" width="9.8515625" style="280" customWidth="1"/>
    <col min="22" max="22" width="10.140625" style="280" customWidth="1"/>
    <col min="23" max="23" width="11.140625" style="280" customWidth="1"/>
    <col min="24" max="24" width="11.57421875" style="280" customWidth="1"/>
    <col min="25" max="25" width="4.28125" style="280" customWidth="1"/>
    <col min="26" max="26" width="10.7109375" style="280" customWidth="1"/>
    <col min="27" max="27" width="9.00390625" style="280" customWidth="1"/>
    <col min="28" max="28" width="9.28125" style="280" customWidth="1"/>
    <col min="29" max="29" width="11.57421875" style="280" customWidth="1"/>
    <col min="30" max="32" width="9.00390625" style="280" customWidth="1"/>
    <col min="33" max="16384" width="9.140625" style="280"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74"/>
      <c r="AE1" s="274"/>
      <c r="AF1" s="274"/>
      <c r="AG1" s="70"/>
      <c r="AH1" s="70"/>
    </row>
    <row r="2" spans="1:34" ht="52.5" customHeight="1" thickBot="1">
      <c r="A2" s="450" t="s">
        <v>44</v>
      </c>
      <c r="B2" s="450"/>
      <c r="C2" s="469" t="s">
        <v>272</v>
      </c>
      <c r="D2" s="469"/>
      <c r="E2" s="469"/>
      <c r="F2" s="469"/>
      <c r="G2" s="469"/>
      <c r="H2" s="283" t="s">
        <v>55</v>
      </c>
      <c r="I2" s="151">
        <v>3</v>
      </c>
      <c r="J2" s="283" t="s">
        <v>48</v>
      </c>
      <c r="K2" s="152" t="s">
        <v>273</v>
      </c>
      <c r="L2" s="152"/>
      <c r="M2" s="153"/>
      <c r="N2" s="508" t="s">
        <v>17</v>
      </c>
      <c r="O2" s="508"/>
      <c r="P2" s="471" t="str">
        <f>C2</f>
        <v>Olive Salad</v>
      </c>
      <c r="Q2" s="471"/>
      <c r="R2" s="471"/>
      <c r="S2" s="471"/>
      <c r="T2" s="472"/>
      <c r="U2" s="77"/>
      <c r="V2" s="77"/>
      <c r="W2" s="283" t="s">
        <v>55</v>
      </c>
      <c r="X2" s="78">
        <f>I2</f>
        <v>3</v>
      </c>
      <c r="Y2" s="79"/>
      <c r="Z2" s="80" t="s">
        <v>53</v>
      </c>
      <c r="AA2" s="518" t="str">
        <f>K2</f>
        <v>2.5 oz. per serving</v>
      </c>
      <c r="AB2" s="398"/>
      <c r="AC2" s="398"/>
      <c r="AD2" s="84"/>
      <c r="AE2" s="84"/>
      <c r="AF2" s="84"/>
      <c r="AG2" s="83"/>
      <c r="AH2" s="83"/>
    </row>
    <row r="3" spans="1:34" ht="11.25" customHeight="1">
      <c r="A3" s="277"/>
      <c r="B3" s="230"/>
      <c r="C3" s="519" t="s">
        <v>245</v>
      </c>
      <c r="D3" s="520"/>
      <c r="E3" s="520"/>
      <c r="F3" s="520"/>
      <c r="G3" s="520"/>
      <c r="H3" s="231"/>
      <c r="I3" s="437" t="s">
        <v>274</v>
      </c>
      <c r="J3" s="528"/>
      <c r="K3" s="528"/>
      <c r="L3" s="85"/>
      <c r="M3" s="86"/>
      <c r="N3" s="283"/>
      <c r="O3" s="283"/>
      <c r="P3" s="522" t="str">
        <f>C3</f>
        <v>Taste of New Orleans</v>
      </c>
      <c r="Q3" s="523"/>
      <c r="R3" s="523"/>
      <c r="S3" s="523"/>
      <c r="T3" s="523"/>
      <c r="U3" s="523"/>
      <c r="V3" s="523"/>
      <c r="W3" s="283"/>
      <c r="X3" s="79" t="str">
        <f>I3</f>
        <v>Gallon</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74"/>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76" t="s">
        <v>31</v>
      </c>
      <c r="S5" s="278" t="s">
        <v>2</v>
      </c>
      <c r="T5" s="276" t="s">
        <v>51</v>
      </c>
      <c r="U5" s="276" t="s">
        <v>30</v>
      </c>
      <c r="V5" s="276" t="s">
        <v>49</v>
      </c>
      <c r="W5" s="276" t="s">
        <v>57</v>
      </c>
      <c r="X5" s="442" t="s">
        <v>75</v>
      </c>
      <c r="Y5" s="442"/>
      <c r="Z5" s="276" t="s">
        <v>50</v>
      </c>
      <c r="AA5" s="276" t="s">
        <v>13</v>
      </c>
      <c r="AB5" s="276" t="s">
        <v>61</v>
      </c>
      <c r="AC5" s="133" t="s">
        <v>62</v>
      </c>
      <c r="AD5" s="274"/>
      <c r="AE5" s="274"/>
      <c r="AF5" s="274"/>
    </row>
    <row r="6" spans="1:32" ht="28.5" customHeight="1">
      <c r="A6" s="443" t="s">
        <v>514</v>
      </c>
      <c r="B6" s="444"/>
      <c r="C6" s="444"/>
      <c r="D6" s="445"/>
      <c r="E6" s="446" t="s">
        <v>275</v>
      </c>
      <c r="F6" s="447"/>
      <c r="G6" s="91">
        <v>1</v>
      </c>
      <c r="H6" s="444" t="s">
        <v>276</v>
      </c>
      <c r="I6" s="500"/>
      <c r="J6" s="500"/>
      <c r="K6" s="500"/>
      <c r="L6" s="500"/>
      <c r="M6" s="501"/>
      <c r="N6" s="429" t="str">
        <f aca="true" t="shared" si="0" ref="N6:N21">A6</f>
        <v>Large pimiento-stuffed large green olives, drained and slightly crushed</v>
      </c>
      <c r="O6" s="430"/>
      <c r="P6" s="430"/>
      <c r="Q6" s="430"/>
      <c r="R6" s="232">
        <f>4/3</f>
        <v>1.3333333333333333</v>
      </c>
      <c r="S6" s="161" t="s">
        <v>277</v>
      </c>
      <c r="T6" s="162">
        <f>R6*X2</f>
        <v>4</v>
      </c>
      <c r="U6" s="172">
        <f>(X2*R6)/AA6</f>
        <v>4</v>
      </c>
      <c r="V6" s="164" t="s">
        <v>253</v>
      </c>
      <c r="W6" s="165">
        <v>16.27</v>
      </c>
      <c r="X6" s="166">
        <f>U6/1</f>
        <v>4</v>
      </c>
      <c r="Y6" s="166" t="s">
        <v>278</v>
      </c>
      <c r="Z6" s="167">
        <f>(W6/4)*X6</f>
        <v>16.27</v>
      </c>
      <c r="AA6" s="168">
        <v>1</v>
      </c>
      <c r="AB6" s="169">
        <f>Z6/X2</f>
        <v>5.423333333333333</v>
      </c>
      <c r="AC6" s="170">
        <f>X2*AB6</f>
        <v>16.27</v>
      </c>
      <c r="AD6" s="103"/>
      <c r="AE6" s="103"/>
      <c r="AF6" s="103"/>
    </row>
    <row r="7" spans="1:32" ht="18.75" customHeight="1">
      <c r="A7" s="431" t="s">
        <v>279</v>
      </c>
      <c r="B7" s="432"/>
      <c r="C7" s="432"/>
      <c r="D7" s="433"/>
      <c r="E7" s="436" t="s">
        <v>280</v>
      </c>
      <c r="F7" s="435"/>
      <c r="G7" s="91">
        <v>2</v>
      </c>
      <c r="H7" s="432" t="s">
        <v>281</v>
      </c>
      <c r="I7" s="483"/>
      <c r="J7" s="483"/>
      <c r="K7" s="483"/>
      <c r="L7" s="483"/>
      <c r="M7" s="484"/>
      <c r="N7" s="429" t="str">
        <f t="shared" si="0"/>
        <v>Large Greek black olives, drained and pitted</v>
      </c>
      <c r="O7" s="430"/>
      <c r="P7" s="430"/>
      <c r="Q7" s="430"/>
      <c r="R7" s="232">
        <f>6/3</f>
        <v>2</v>
      </c>
      <c r="S7" s="161" t="s">
        <v>67</v>
      </c>
      <c r="T7" s="176">
        <f>X2*R7</f>
        <v>6</v>
      </c>
      <c r="U7" s="172">
        <f>(X2*R7)/AA7</f>
        <v>6</v>
      </c>
      <c r="V7" s="164" t="s">
        <v>282</v>
      </c>
      <c r="W7" s="165">
        <v>28.2</v>
      </c>
      <c r="X7" s="166">
        <f>U7/1</f>
        <v>6</v>
      </c>
      <c r="Y7" s="166" t="s">
        <v>67</v>
      </c>
      <c r="Z7" s="167">
        <f>(W7/8.8)*X7</f>
        <v>19.227272727272727</v>
      </c>
      <c r="AA7" s="168">
        <v>1</v>
      </c>
      <c r="AB7" s="169">
        <f>Z7/X2</f>
        <v>6.409090909090909</v>
      </c>
      <c r="AC7" s="170">
        <f>X2*AB7</f>
        <v>19.227272727272727</v>
      </c>
      <c r="AD7" s="103"/>
      <c r="AE7" s="103"/>
      <c r="AF7" s="103"/>
    </row>
    <row r="8" spans="1:32" ht="19.5" customHeight="1">
      <c r="A8" s="431" t="s">
        <v>283</v>
      </c>
      <c r="B8" s="432"/>
      <c r="C8" s="432"/>
      <c r="D8" s="433"/>
      <c r="E8" s="434" t="s">
        <v>280</v>
      </c>
      <c r="F8" s="435"/>
      <c r="G8" s="91">
        <v>3</v>
      </c>
      <c r="H8" s="432" t="s">
        <v>284</v>
      </c>
      <c r="I8" s="483"/>
      <c r="J8" s="483"/>
      <c r="K8" s="483"/>
      <c r="L8" s="483"/>
      <c r="M8" s="484"/>
      <c r="N8" s="429" t="str">
        <f t="shared" si="0"/>
        <v>Extra Virgin Olive Oil</v>
      </c>
      <c r="O8" s="430"/>
      <c r="P8" s="430"/>
      <c r="Q8" s="430"/>
      <c r="R8" s="79">
        <f>6/3</f>
        <v>2</v>
      </c>
      <c r="S8" s="161" t="s">
        <v>67</v>
      </c>
      <c r="T8" s="162">
        <f>X2*R8</f>
        <v>6</v>
      </c>
      <c r="U8" s="172">
        <f>(X2*R8)/AA8</f>
        <v>6</v>
      </c>
      <c r="V8" s="164" t="s">
        <v>253</v>
      </c>
      <c r="W8" s="165">
        <v>20.04</v>
      </c>
      <c r="X8" s="166">
        <f>U8/1</f>
        <v>6</v>
      </c>
      <c r="Y8" s="166" t="s">
        <v>67</v>
      </c>
      <c r="Z8" s="167">
        <f>(W8/16)*X8</f>
        <v>7.515</v>
      </c>
      <c r="AA8" s="168">
        <v>1</v>
      </c>
      <c r="AB8" s="169">
        <f>Z8/X2</f>
        <v>2.505</v>
      </c>
      <c r="AC8" s="170">
        <f>X2*AB8</f>
        <v>7.515</v>
      </c>
      <c r="AD8" s="103"/>
      <c r="AE8" s="103"/>
      <c r="AF8" s="103"/>
    </row>
    <row r="9" spans="1:32" ht="18.75" customHeight="1">
      <c r="A9" s="431" t="s">
        <v>285</v>
      </c>
      <c r="B9" s="432"/>
      <c r="C9" s="432"/>
      <c r="D9" s="433"/>
      <c r="E9" s="436" t="s">
        <v>280</v>
      </c>
      <c r="F9" s="435"/>
      <c r="G9" s="91"/>
      <c r="H9" s="432" t="s">
        <v>286</v>
      </c>
      <c r="I9" s="483"/>
      <c r="J9" s="483"/>
      <c r="K9" s="483"/>
      <c r="L9" s="483"/>
      <c r="M9" s="484"/>
      <c r="N9" s="429" t="str">
        <f t="shared" si="0"/>
        <v>Vegetable Oil</v>
      </c>
      <c r="O9" s="430"/>
      <c r="P9" s="430"/>
      <c r="Q9" s="430"/>
      <c r="R9" s="79">
        <f>6/3</f>
        <v>2</v>
      </c>
      <c r="S9" s="161" t="s">
        <v>67</v>
      </c>
      <c r="T9" s="162">
        <f>X2*R9</f>
        <v>6</v>
      </c>
      <c r="U9" s="172">
        <f>(X2*R9)/AA9</f>
        <v>6</v>
      </c>
      <c r="V9" s="164" t="s">
        <v>253</v>
      </c>
      <c r="W9" s="165">
        <v>10.47</v>
      </c>
      <c r="X9" s="166">
        <f>(U9*1)/1</f>
        <v>6</v>
      </c>
      <c r="Y9" s="166" t="s">
        <v>67</v>
      </c>
      <c r="Z9" s="167">
        <f>(W9/16)*X9</f>
        <v>3.9262500000000005</v>
      </c>
      <c r="AA9" s="168">
        <v>1</v>
      </c>
      <c r="AB9" s="169">
        <f>Z9/X2</f>
        <v>1.30875</v>
      </c>
      <c r="AC9" s="170">
        <f>X2*AB9</f>
        <v>3.9262500000000005</v>
      </c>
      <c r="AD9" s="103"/>
      <c r="AE9" s="103"/>
      <c r="AF9" s="103"/>
    </row>
    <row r="10" spans="1:32" ht="18.75" customHeight="1">
      <c r="A10" s="431" t="s">
        <v>287</v>
      </c>
      <c r="B10" s="432"/>
      <c r="C10" s="432"/>
      <c r="D10" s="433"/>
      <c r="E10" s="436" t="s">
        <v>288</v>
      </c>
      <c r="F10" s="435"/>
      <c r="G10" s="91"/>
      <c r="H10" s="432"/>
      <c r="I10" s="494"/>
      <c r="J10" s="494"/>
      <c r="K10" s="494"/>
      <c r="L10" s="494"/>
      <c r="M10" s="495"/>
      <c r="N10" s="429" t="str">
        <f t="shared" si="0"/>
        <v>Pickled Cauliflower, drained</v>
      </c>
      <c r="O10" s="430"/>
      <c r="P10" s="430"/>
      <c r="Q10" s="430"/>
      <c r="R10" s="174">
        <f>4/3</f>
        <v>1.3333333333333333</v>
      </c>
      <c r="S10" s="161" t="s">
        <v>67</v>
      </c>
      <c r="T10" s="162">
        <f>X2*R10</f>
        <v>4</v>
      </c>
      <c r="U10" s="172">
        <f>(X2*R10)/AA10</f>
        <v>4</v>
      </c>
      <c r="V10" s="164" t="s">
        <v>253</v>
      </c>
      <c r="W10" s="165">
        <v>7.66</v>
      </c>
      <c r="X10" s="166">
        <f>U10/1</f>
        <v>4</v>
      </c>
      <c r="Y10" s="166" t="s">
        <v>67</v>
      </c>
      <c r="Z10" s="167">
        <f>(W10/16)*X10</f>
        <v>1.915</v>
      </c>
      <c r="AA10" s="168">
        <v>1</v>
      </c>
      <c r="AB10" s="169">
        <f>Z10/X2</f>
        <v>0.6383333333333333</v>
      </c>
      <c r="AC10" s="170">
        <f>X2*AB10</f>
        <v>1.915</v>
      </c>
      <c r="AD10" s="103"/>
      <c r="AE10" s="103"/>
      <c r="AF10" s="103"/>
    </row>
    <row r="11" spans="1:32" ht="18.75" customHeight="1">
      <c r="A11" s="431" t="s">
        <v>289</v>
      </c>
      <c r="B11" s="432"/>
      <c r="C11" s="432"/>
      <c r="D11" s="433"/>
      <c r="E11" s="436" t="s">
        <v>290</v>
      </c>
      <c r="F11" s="435"/>
      <c r="G11" s="91"/>
      <c r="H11" s="432"/>
      <c r="I11" s="494"/>
      <c r="J11" s="494"/>
      <c r="K11" s="494"/>
      <c r="L11" s="494"/>
      <c r="M11" s="495"/>
      <c r="N11" s="438" t="str">
        <f t="shared" si="0"/>
        <v>Celery, bunch, sliced diagonally</v>
      </c>
      <c r="O11" s="439"/>
      <c r="P11" s="439"/>
      <c r="Q11" s="439"/>
      <c r="R11" s="79">
        <f>1/3</f>
        <v>0.3333333333333333</v>
      </c>
      <c r="S11" s="161" t="s">
        <v>291</v>
      </c>
      <c r="T11" s="162">
        <f>X2*R11</f>
        <v>1</v>
      </c>
      <c r="U11" s="172">
        <f>(X2*R11)/AA11</f>
        <v>1</v>
      </c>
      <c r="V11" s="233" t="s">
        <v>292</v>
      </c>
      <c r="W11" s="165">
        <v>28.38</v>
      </c>
      <c r="X11" s="166">
        <f>U11/1</f>
        <v>1</v>
      </c>
      <c r="Y11" s="166" t="s">
        <v>293</v>
      </c>
      <c r="Z11" s="167">
        <f>(W11/36)*X11</f>
        <v>0.7883333333333333</v>
      </c>
      <c r="AA11" s="168">
        <v>1</v>
      </c>
      <c r="AB11" s="169">
        <f>Z11/X2</f>
        <v>0.2627777777777778</v>
      </c>
      <c r="AC11" s="170">
        <f>X2*AB11</f>
        <v>0.7883333333333333</v>
      </c>
      <c r="AD11" s="103"/>
      <c r="AE11" s="103"/>
      <c r="AF11" s="103"/>
    </row>
    <row r="12" spans="1:32" ht="30.75" customHeight="1">
      <c r="A12" s="431" t="s">
        <v>294</v>
      </c>
      <c r="B12" s="432"/>
      <c r="C12" s="432"/>
      <c r="D12" s="433"/>
      <c r="E12" s="436" t="s">
        <v>295</v>
      </c>
      <c r="F12" s="435"/>
      <c r="G12" s="91"/>
      <c r="H12" s="432"/>
      <c r="I12" s="494"/>
      <c r="J12" s="494"/>
      <c r="K12" s="494"/>
      <c r="L12" s="494"/>
      <c r="M12" s="495"/>
      <c r="N12" s="431" t="str">
        <f t="shared" si="0"/>
        <v>Carrots, Medium, peeled and thinly sliced diagonally</v>
      </c>
      <c r="O12" s="437"/>
      <c r="P12" s="437"/>
      <c r="Q12" s="437"/>
      <c r="R12" s="232">
        <f>1/3</f>
        <v>0.3333333333333333</v>
      </c>
      <c r="S12" s="161" t="s">
        <v>80</v>
      </c>
      <c r="T12" s="162">
        <f>X2*R12</f>
        <v>1</v>
      </c>
      <c r="U12" s="172">
        <f>(X2*R12)/AA12</f>
        <v>1.1235955056179776</v>
      </c>
      <c r="V12" s="234" t="s">
        <v>163</v>
      </c>
      <c r="W12" s="165">
        <v>6.29</v>
      </c>
      <c r="X12" s="166">
        <f>U12/1</f>
        <v>1.1235955056179776</v>
      </c>
      <c r="Y12" s="166" t="s">
        <v>80</v>
      </c>
      <c r="Z12" s="167">
        <f>(W12/25)*X12</f>
        <v>0.28269662921348315</v>
      </c>
      <c r="AA12" s="168">
        <v>0.89</v>
      </c>
      <c r="AB12" s="169">
        <f>Z12/X2</f>
        <v>0.09423220973782771</v>
      </c>
      <c r="AC12" s="170">
        <f>X2*AB12</f>
        <v>0.28269662921348315</v>
      </c>
      <c r="AD12" s="103"/>
      <c r="AE12" s="103"/>
      <c r="AF12" s="103"/>
    </row>
    <row r="13" spans="1:32" ht="18.75" customHeight="1">
      <c r="A13" s="431" t="s">
        <v>296</v>
      </c>
      <c r="B13" s="432"/>
      <c r="C13" s="432"/>
      <c r="D13" s="433"/>
      <c r="E13" s="434" t="s">
        <v>130</v>
      </c>
      <c r="F13" s="435"/>
      <c r="G13" s="91"/>
      <c r="H13" s="432"/>
      <c r="I13" s="483"/>
      <c r="J13" s="483"/>
      <c r="K13" s="483"/>
      <c r="L13" s="483"/>
      <c r="M13" s="484"/>
      <c r="N13" s="429" t="str">
        <f t="shared" si="0"/>
        <v>Pepperoncini, drained and chopped coarsely</v>
      </c>
      <c r="O13" s="430"/>
      <c r="P13" s="430"/>
      <c r="Q13" s="430"/>
      <c r="R13" s="79">
        <f>2/3</f>
        <v>0.6666666666666666</v>
      </c>
      <c r="S13" s="161" t="s">
        <v>67</v>
      </c>
      <c r="T13" s="162">
        <f>X2*R13</f>
        <v>2</v>
      </c>
      <c r="U13" s="172">
        <f>(X2*R13)/AA13</f>
        <v>2</v>
      </c>
      <c r="V13" s="164" t="s">
        <v>253</v>
      </c>
      <c r="W13" s="165">
        <v>7.22</v>
      </c>
      <c r="X13" s="166">
        <f>U13/1</f>
        <v>2</v>
      </c>
      <c r="Y13" s="166" t="s">
        <v>67</v>
      </c>
      <c r="Z13" s="167">
        <f>(W13/16)*X13</f>
        <v>0.9025</v>
      </c>
      <c r="AA13" s="168">
        <v>1</v>
      </c>
      <c r="AB13" s="169">
        <f>Z13/X2</f>
        <v>0.30083333333333334</v>
      </c>
      <c r="AC13" s="170">
        <f>X2*AB13</f>
        <v>0.9025000000000001</v>
      </c>
      <c r="AD13" s="103"/>
      <c r="AE13" s="103"/>
      <c r="AF13" s="103"/>
    </row>
    <row r="14" spans="1:32" ht="18.75" customHeight="1">
      <c r="A14" s="431" t="s">
        <v>297</v>
      </c>
      <c r="B14" s="432"/>
      <c r="C14" s="432"/>
      <c r="D14" s="433"/>
      <c r="E14" s="434" t="s">
        <v>298</v>
      </c>
      <c r="F14" s="435"/>
      <c r="G14" s="91"/>
      <c r="H14" s="432"/>
      <c r="I14" s="483"/>
      <c r="J14" s="483"/>
      <c r="K14" s="483"/>
      <c r="L14" s="483"/>
      <c r="M14" s="484"/>
      <c r="N14" s="429" t="str">
        <f t="shared" si="0"/>
        <v>Cocktail Onions, drained, chopped</v>
      </c>
      <c r="O14" s="430"/>
      <c r="P14" s="430"/>
      <c r="Q14" s="430"/>
      <c r="R14" s="79">
        <f>1.5/3</f>
        <v>0.5</v>
      </c>
      <c r="S14" s="161" t="s">
        <v>67</v>
      </c>
      <c r="T14" s="162">
        <f>X2*R14</f>
        <v>1.5</v>
      </c>
      <c r="U14" s="172">
        <f>(X2*R14)/AA14</f>
        <v>1.5</v>
      </c>
      <c r="V14" s="164" t="s">
        <v>299</v>
      </c>
      <c r="W14" s="165">
        <v>3.45</v>
      </c>
      <c r="X14" s="166">
        <f>(U14*8)/1</f>
        <v>12</v>
      </c>
      <c r="Y14" s="166" t="s">
        <v>106</v>
      </c>
      <c r="Z14" s="167">
        <f>(W14/32)*X14</f>
        <v>1.2937500000000002</v>
      </c>
      <c r="AA14" s="168">
        <v>1</v>
      </c>
      <c r="AB14" s="169">
        <f>Z14/X2</f>
        <v>0.4312500000000001</v>
      </c>
      <c r="AC14" s="170">
        <f>X2*AB14</f>
        <v>1.2937500000000002</v>
      </c>
      <c r="AD14" s="103"/>
      <c r="AE14" s="103"/>
      <c r="AF14" s="103"/>
    </row>
    <row r="15" spans="1:32" ht="18.75" customHeight="1">
      <c r="A15" s="431" t="s">
        <v>300</v>
      </c>
      <c r="B15" s="432"/>
      <c r="C15" s="432"/>
      <c r="D15" s="433"/>
      <c r="E15" s="434" t="s">
        <v>137</v>
      </c>
      <c r="F15" s="435"/>
      <c r="G15" s="91"/>
      <c r="H15" s="432"/>
      <c r="I15" s="483"/>
      <c r="J15" s="483"/>
      <c r="K15" s="483"/>
      <c r="L15" s="483"/>
      <c r="M15" s="484"/>
      <c r="N15" s="429" t="str">
        <f t="shared" si="0"/>
        <v>Small Capers, Drained</v>
      </c>
      <c r="O15" s="430"/>
      <c r="P15" s="430"/>
      <c r="Q15" s="430"/>
      <c r="R15" s="79">
        <f>1/3</f>
        <v>0.3333333333333333</v>
      </c>
      <c r="S15" s="161" t="s">
        <v>67</v>
      </c>
      <c r="T15" s="162">
        <f>X2*R15</f>
        <v>1</v>
      </c>
      <c r="U15" s="172">
        <f>(X2*R15)/AA15</f>
        <v>1</v>
      </c>
      <c r="V15" s="164" t="s">
        <v>301</v>
      </c>
      <c r="W15" s="165">
        <v>4.1</v>
      </c>
      <c r="X15" s="166">
        <f>U15*8</f>
        <v>8</v>
      </c>
      <c r="Y15" s="166" t="s">
        <v>106</v>
      </c>
      <c r="Z15" s="167">
        <f>(W15/16)*X15</f>
        <v>2.05</v>
      </c>
      <c r="AA15" s="168">
        <v>1</v>
      </c>
      <c r="AB15" s="169">
        <f>Z15/X2</f>
        <v>0.6833333333333332</v>
      </c>
      <c r="AC15" s="170">
        <f>X2*AB15</f>
        <v>2.05</v>
      </c>
      <c r="AD15" s="103"/>
      <c r="AE15" s="103"/>
      <c r="AF15" s="103"/>
    </row>
    <row r="16" spans="1:32" ht="18.75" customHeight="1">
      <c r="A16" s="431" t="s">
        <v>302</v>
      </c>
      <c r="B16" s="432"/>
      <c r="C16" s="432"/>
      <c r="D16" s="433"/>
      <c r="E16" s="434" t="s">
        <v>303</v>
      </c>
      <c r="F16" s="435"/>
      <c r="G16" s="91"/>
      <c r="H16" s="432"/>
      <c r="I16" s="483"/>
      <c r="J16" s="483"/>
      <c r="K16" s="483"/>
      <c r="L16" s="483"/>
      <c r="M16" s="484"/>
      <c r="N16" s="429" t="str">
        <f t="shared" si="0"/>
        <v>Garlic, Fresh, Minced</v>
      </c>
      <c r="O16" s="430"/>
      <c r="P16" s="430"/>
      <c r="Q16" s="430"/>
      <c r="R16" s="79">
        <f>8/3</f>
        <v>2.6666666666666665</v>
      </c>
      <c r="S16" s="161" t="s">
        <v>215</v>
      </c>
      <c r="T16" s="162">
        <f>X2*R16</f>
        <v>8</v>
      </c>
      <c r="U16" s="172">
        <f>(X2*R16)/AA16</f>
        <v>9.090909090909092</v>
      </c>
      <c r="V16" s="164" t="s">
        <v>165</v>
      </c>
      <c r="W16" s="165">
        <v>11.58</v>
      </c>
      <c r="X16" s="166">
        <f>U16/32</f>
        <v>0.2840909090909091</v>
      </c>
      <c r="Y16" s="166" t="s">
        <v>80</v>
      </c>
      <c r="Z16" s="167">
        <f>(W16/5)*X16</f>
        <v>0.6579545454545455</v>
      </c>
      <c r="AA16" s="168">
        <v>0.88</v>
      </c>
      <c r="AB16" s="169">
        <f>Z16/X2</f>
        <v>0.21931818181818183</v>
      </c>
      <c r="AC16" s="170">
        <f>X2*AB16</f>
        <v>0.6579545454545455</v>
      </c>
      <c r="AD16" s="103"/>
      <c r="AE16" s="103"/>
      <c r="AF16" s="103"/>
    </row>
    <row r="17" spans="1:32" ht="18.75" customHeight="1">
      <c r="A17" s="431" t="s">
        <v>304</v>
      </c>
      <c r="B17" s="432"/>
      <c r="C17" s="432"/>
      <c r="D17" s="433"/>
      <c r="E17" s="434" t="s">
        <v>305</v>
      </c>
      <c r="F17" s="435"/>
      <c r="G17" s="91"/>
      <c r="H17" s="432"/>
      <c r="I17" s="483"/>
      <c r="J17" s="483"/>
      <c r="K17" s="483"/>
      <c r="L17" s="483"/>
      <c r="M17" s="484"/>
      <c r="N17" s="429" t="str">
        <f t="shared" si="0"/>
        <v>Italian Seasoning</v>
      </c>
      <c r="O17" s="430"/>
      <c r="P17" s="430"/>
      <c r="Q17" s="430"/>
      <c r="R17" s="79">
        <f>2/3</f>
        <v>0.6666666666666666</v>
      </c>
      <c r="S17" s="161" t="s">
        <v>215</v>
      </c>
      <c r="T17" s="162">
        <f>X2*R17</f>
        <v>2</v>
      </c>
      <c r="U17" s="172">
        <f>(X2*R17)/AA17</f>
        <v>2</v>
      </c>
      <c r="V17" s="164" t="s">
        <v>306</v>
      </c>
      <c r="W17" s="165">
        <v>5.76</v>
      </c>
      <c r="X17" s="166">
        <f>U17/2</f>
        <v>1</v>
      </c>
      <c r="Y17" s="166" t="s">
        <v>106</v>
      </c>
      <c r="Z17" s="167">
        <f>(W17/6)*X17</f>
        <v>0.96</v>
      </c>
      <c r="AA17" s="168">
        <v>1</v>
      </c>
      <c r="AB17" s="169">
        <f>Z17/X2</f>
        <v>0.32</v>
      </c>
      <c r="AC17" s="170">
        <f>X2*AB17</f>
        <v>0.96</v>
      </c>
      <c r="AD17" s="103"/>
      <c r="AE17" s="103"/>
      <c r="AF17" s="103"/>
    </row>
    <row r="18" spans="1:32" ht="18.75" customHeight="1">
      <c r="A18" s="431" t="s">
        <v>307</v>
      </c>
      <c r="B18" s="432"/>
      <c r="C18" s="432"/>
      <c r="D18" s="433"/>
      <c r="E18" s="434" t="s">
        <v>308</v>
      </c>
      <c r="F18" s="435"/>
      <c r="G18" s="91"/>
      <c r="H18" s="432"/>
      <c r="I18" s="483"/>
      <c r="J18" s="483"/>
      <c r="K18" s="483"/>
      <c r="L18" s="483"/>
      <c r="M18" s="484"/>
      <c r="N18" s="429" t="str">
        <f t="shared" si="0"/>
        <v>Red Pepper Flakes, crushed</v>
      </c>
      <c r="O18" s="430"/>
      <c r="P18" s="430"/>
      <c r="Q18" s="430"/>
      <c r="R18" s="79">
        <f>3/3</f>
        <v>1</v>
      </c>
      <c r="S18" s="161" t="s">
        <v>237</v>
      </c>
      <c r="T18" s="162">
        <f>X2*R18</f>
        <v>3</v>
      </c>
      <c r="U18" s="177">
        <f>(X2*R18)/AA18</f>
        <v>3</v>
      </c>
      <c r="V18" s="164" t="s">
        <v>309</v>
      </c>
      <c r="W18" s="165">
        <v>5.67</v>
      </c>
      <c r="X18" s="166">
        <f>U18/6</f>
        <v>0.5</v>
      </c>
      <c r="Y18" s="166" t="s">
        <v>106</v>
      </c>
      <c r="Z18" s="167">
        <f>(W18/12)*X18</f>
        <v>0.23625</v>
      </c>
      <c r="AA18" s="168">
        <v>1</v>
      </c>
      <c r="AB18" s="169">
        <f>Z18/X2</f>
        <v>0.07875</v>
      </c>
      <c r="AC18" s="170">
        <f>X2*AB18</f>
        <v>0.23625000000000002</v>
      </c>
      <c r="AD18" s="103"/>
      <c r="AE18" s="103"/>
      <c r="AF18" s="103"/>
    </row>
    <row r="19" spans="1:32" ht="18.75" customHeight="1">
      <c r="A19" s="431" t="s">
        <v>310</v>
      </c>
      <c r="B19" s="432"/>
      <c r="C19" s="432"/>
      <c r="D19" s="433"/>
      <c r="E19" s="434" t="s">
        <v>311</v>
      </c>
      <c r="F19" s="435"/>
      <c r="G19" s="91"/>
      <c r="H19" s="432"/>
      <c r="I19" s="483"/>
      <c r="J19" s="483"/>
      <c r="K19" s="483"/>
      <c r="L19" s="483"/>
      <c r="M19" s="484"/>
      <c r="N19" s="429" t="str">
        <f t="shared" si="0"/>
        <v>Black Pepper, Ground</v>
      </c>
      <c r="O19" s="430"/>
      <c r="P19" s="430"/>
      <c r="Q19" s="430"/>
      <c r="R19" s="79">
        <f>1/3</f>
        <v>0.3333333333333333</v>
      </c>
      <c r="S19" s="161" t="s">
        <v>237</v>
      </c>
      <c r="T19" s="162">
        <f>X2*R19</f>
        <v>1</v>
      </c>
      <c r="U19" s="177">
        <f>(X2*R19)/AA19</f>
        <v>1</v>
      </c>
      <c r="V19" s="164" t="s">
        <v>165</v>
      </c>
      <c r="W19" s="165">
        <v>44.12</v>
      </c>
      <c r="X19" s="166">
        <f>U19/96</f>
        <v>0.010416666666666666</v>
      </c>
      <c r="Y19" s="166" t="s">
        <v>80</v>
      </c>
      <c r="Z19" s="167">
        <f>(W19/5)*X19</f>
        <v>0.09191666666666666</v>
      </c>
      <c r="AA19" s="168">
        <v>1</v>
      </c>
      <c r="AB19" s="169">
        <f>Z19/X2</f>
        <v>0.030638888888888886</v>
      </c>
      <c r="AC19" s="170">
        <f>X2*AB19</f>
        <v>0.09191666666666666</v>
      </c>
      <c r="AD19" s="103"/>
      <c r="AE19" s="103"/>
      <c r="AF19" s="103"/>
    </row>
    <row r="20" spans="1:32" ht="18.75" customHeight="1">
      <c r="A20" s="431" t="s">
        <v>312</v>
      </c>
      <c r="B20" s="432"/>
      <c r="C20" s="432"/>
      <c r="D20" s="433"/>
      <c r="E20" s="434" t="s">
        <v>311</v>
      </c>
      <c r="F20" s="435"/>
      <c r="G20" s="91"/>
      <c r="H20" s="432"/>
      <c r="I20" s="483"/>
      <c r="J20" s="483"/>
      <c r="K20" s="483"/>
      <c r="L20" s="483"/>
      <c r="M20" s="484"/>
      <c r="N20" s="429" t="str">
        <f t="shared" si="0"/>
        <v>Celery seeds</v>
      </c>
      <c r="O20" s="430"/>
      <c r="P20" s="430"/>
      <c r="Q20" s="430"/>
      <c r="R20" s="79">
        <f>1/3</f>
        <v>0.3333333333333333</v>
      </c>
      <c r="S20" s="161" t="s">
        <v>237</v>
      </c>
      <c r="T20" s="162">
        <f>X2*R20</f>
        <v>1</v>
      </c>
      <c r="U20" s="177">
        <f>(X2*R20)/AA20</f>
        <v>1</v>
      </c>
      <c r="V20" s="164" t="s">
        <v>301</v>
      </c>
      <c r="W20" s="165">
        <v>6.1</v>
      </c>
      <c r="X20" s="166">
        <f>U20/6</f>
        <v>0.16666666666666666</v>
      </c>
      <c r="Y20" s="166" t="s">
        <v>106</v>
      </c>
      <c r="Z20" s="167">
        <f>(W20/16)*X20</f>
        <v>0.06354166666666666</v>
      </c>
      <c r="AA20" s="168">
        <v>1</v>
      </c>
      <c r="AB20" s="169">
        <f>Z20/X2</f>
        <v>0.021180555555555553</v>
      </c>
      <c r="AC20" s="170">
        <f>X2*AB20</f>
        <v>0.06354166666666666</v>
      </c>
      <c r="AD20" s="103"/>
      <c r="AE20" s="103"/>
      <c r="AF20" s="103"/>
    </row>
    <row r="21" spans="1:32" ht="25.5" customHeight="1">
      <c r="A21" s="431"/>
      <c r="B21" s="432"/>
      <c r="C21" s="432"/>
      <c r="D21" s="433"/>
      <c r="E21" s="434"/>
      <c r="F21" s="435"/>
      <c r="G21" s="91"/>
      <c r="H21" s="432"/>
      <c r="I21" s="483"/>
      <c r="J21" s="483"/>
      <c r="K21" s="483"/>
      <c r="L21" s="483"/>
      <c r="M21" s="484"/>
      <c r="N21" s="429">
        <f t="shared" si="0"/>
        <v>0</v>
      </c>
      <c r="O21" s="430"/>
      <c r="P21" s="430"/>
      <c r="Q21" s="430"/>
      <c r="R21" s="79"/>
      <c r="S21" s="161"/>
      <c r="T21" s="162">
        <f>X2*R21</f>
        <v>0</v>
      </c>
      <c r="U21" s="177">
        <f>(X2*R21)/AA21</f>
        <v>0</v>
      </c>
      <c r="V21" s="164"/>
      <c r="W21" s="165"/>
      <c r="X21" s="166">
        <f>U21/1</f>
        <v>0</v>
      </c>
      <c r="Y21" s="166"/>
      <c r="Z21" s="167">
        <f>W21*X21</f>
        <v>0</v>
      </c>
      <c r="AA21" s="168">
        <v>1</v>
      </c>
      <c r="AB21" s="169">
        <f>Z21/X2</f>
        <v>0</v>
      </c>
      <c r="AC21" s="170">
        <f>X2*AB21</f>
        <v>0</v>
      </c>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82"/>
      <c r="M23" s="282"/>
      <c r="N23" s="422" t="s">
        <v>47</v>
      </c>
      <c r="O23" s="423"/>
      <c r="P23" s="423"/>
      <c r="Q23" s="424"/>
      <c r="R23" s="425" t="s">
        <v>7</v>
      </c>
      <c r="S23" s="424"/>
      <c r="T23" s="424"/>
      <c r="U23" s="424"/>
      <c r="V23" s="424"/>
      <c r="W23" s="424"/>
      <c r="X23" s="424"/>
      <c r="Y23" s="424"/>
      <c r="Z23" s="424"/>
      <c r="AA23" s="424"/>
      <c r="AB23" s="424"/>
      <c r="AC23" s="115">
        <f>ROUNDUP(SUM(AC6:AC22),5)</f>
        <v>56.18047</v>
      </c>
      <c r="AD23" s="103"/>
      <c r="AE23" s="103"/>
      <c r="AF23" s="103"/>
    </row>
    <row r="24" spans="1:32" ht="20.25" customHeight="1">
      <c r="A24" s="478" t="s">
        <v>45</v>
      </c>
      <c r="B24" s="479"/>
      <c r="C24" s="479"/>
      <c r="D24" s="479"/>
      <c r="E24" s="479"/>
      <c r="F24" s="479"/>
      <c r="G24" s="479"/>
      <c r="H24" s="479"/>
      <c r="I24" s="479"/>
      <c r="J24" s="479"/>
      <c r="K24" s="480"/>
      <c r="L24" s="284"/>
      <c r="M24" s="284"/>
      <c r="N24" s="524"/>
      <c r="O24" s="525"/>
      <c r="P24" s="525"/>
      <c r="Q24" s="525"/>
      <c r="R24" s="134"/>
      <c r="S24" s="134"/>
      <c r="T24" s="134"/>
      <c r="U24" s="134"/>
      <c r="V24" s="134"/>
      <c r="W24" s="135" t="s">
        <v>9</v>
      </c>
      <c r="X24" s="135"/>
      <c r="Y24" s="135"/>
      <c r="Z24" s="135"/>
      <c r="AA24" s="135"/>
      <c r="AB24" s="135"/>
      <c r="AC24" s="117">
        <f>ROUND(AC23*10/100,5)</f>
        <v>5.61805</v>
      </c>
      <c r="AD24" s="103"/>
      <c r="AE24" s="103"/>
      <c r="AF24" s="103"/>
    </row>
    <row r="25" spans="1:32" ht="30" customHeight="1" thickBot="1">
      <c r="A25" s="409" t="s">
        <v>42</v>
      </c>
      <c r="B25" s="481"/>
      <c r="C25" s="481"/>
      <c r="D25" s="481"/>
      <c r="E25" s="481"/>
      <c r="F25" s="279"/>
      <c r="G25" s="411" t="s">
        <v>46</v>
      </c>
      <c r="H25" s="411"/>
      <c r="I25" s="411"/>
      <c r="J25" s="481"/>
      <c r="K25" s="482"/>
      <c r="L25" s="279"/>
      <c r="M25" s="279"/>
      <c r="N25" s="119"/>
      <c r="O25" s="281"/>
      <c r="P25" s="507"/>
      <c r="Q25" s="507"/>
      <c r="R25" s="138"/>
      <c r="S25" s="138"/>
      <c r="T25" s="138"/>
      <c r="U25" s="138"/>
      <c r="V25" s="138"/>
      <c r="W25" s="139" t="s">
        <v>6</v>
      </c>
      <c r="X25" s="139"/>
      <c r="Y25" s="139"/>
      <c r="Z25" s="139"/>
      <c r="AA25" s="139"/>
      <c r="AB25" s="139"/>
      <c r="AC25" s="120">
        <f>AC23+AC24</f>
        <v>61.798519999999996</v>
      </c>
      <c r="AD25" s="103"/>
      <c r="AE25" s="103"/>
      <c r="AF25" s="103"/>
    </row>
    <row r="26" spans="18:32" ht="7.5" customHeight="1" thickBot="1">
      <c r="R26" s="399"/>
      <c r="S26" s="399"/>
      <c r="T26" s="274"/>
      <c r="U26" s="274"/>
      <c r="V26" s="274"/>
      <c r="W26" s="274"/>
      <c r="X26" s="274"/>
      <c r="Y26" s="274"/>
      <c r="Z26" s="274"/>
      <c r="AA26" s="283"/>
      <c r="AB26" s="283"/>
      <c r="AC26" s="283"/>
      <c r="AD26" s="70"/>
      <c r="AE26" s="70"/>
      <c r="AF26" s="70"/>
    </row>
    <row r="27" spans="1:32" ht="20.25" customHeight="1">
      <c r="A27" s="273" t="s">
        <v>35</v>
      </c>
      <c r="B27" s="393" t="s">
        <v>36</v>
      </c>
      <c r="C27" s="393"/>
      <c r="D27" s="63" t="s">
        <v>37</v>
      </c>
      <c r="E27" s="63" t="s">
        <v>38</v>
      </c>
      <c r="F27" s="63" t="s">
        <v>39</v>
      </c>
      <c r="G27" s="393" t="s">
        <v>40</v>
      </c>
      <c r="H27" s="393"/>
      <c r="I27" s="393" t="s">
        <v>41</v>
      </c>
      <c r="J27" s="393"/>
      <c r="K27" s="393" t="s">
        <v>52</v>
      </c>
      <c r="L27" s="393"/>
      <c r="M27" s="273" t="s">
        <v>135</v>
      </c>
      <c r="N27" s="401" t="s">
        <v>5</v>
      </c>
      <c r="O27" s="401"/>
      <c r="P27" s="401"/>
      <c r="Q27" s="282"/>
      <c r="R27" s="402"/>
      <c r="S27" s="403"/>
      <c r="T27" s="275"/>
      <c r="U27" s="275"/>
      <c r="V27" s="275"/>
      <c r="W27" s="391" t="s">
        <v>313</v>
      </c>
      <c r="X27" s="392"/>
      <c r="Y27" s="392"/>
      <c r="Z27" s="392"/>
      <c r="AA27" s="189"/>
      <c r="AB27" s="189"/>
      <c r="AC27" s="190">
        <f>AC25/X2</f>
        <v>20.599506666666667</v>
      </c>
      <c r="AD27" s="122"/>
      <c r="AE27" s="122"/>
      <c r="AF27" s="122"/>
    </row>
    <row r="28" spans="1:32" ht="37.5" customHeight="1">
      <c r="A28" s="273"/>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72" t="s">
        <v>23</v>
      </c>
      <c r="AB28" s="385" t="s">
        <v>24</v>
      </c>
      <c r="AC28" s="386"/>
      <c r="AD28" s="122"/>
      <c r="AE28" s="122"/>
      <c r="AF28" s="122"/>
    </row>
    <row r="29" spans="14:29" ht="19.5" customHeight="1" thickBot="1">
      <c r="N29" s="123">
        <v>1</v>
      </c>
      <c r="O29" s="124"/>
      <c r="P29" s="125">
        <f>AC25</f>
        <v>61.798519999999996</v>
      </c>
      <c r="Q29" s="126">
        <v>0</v>
      </c>
      <c r="R29" s="387">
        <f>P29+Q29</f>
        <v>61.798519999999996</v>
      </c>
      <c r="S29" s="388"/>
      <c r="T29" s="127"/>
      <c r="U29" s="128"/>
      <c r="V29" s="128"/>
      <c r="W29" s="119"/>
      <c r="X29" s="129">
        <f>AC27/AA29</f>
        <v>68.66502222222222</v>
      </c>
      <c r="Y29" s="129"/>
      <c r="Z29" s="129"/>
      <c r="AA29" s="130">
        <v>0.3</v>
      </c>
      <c r="AB29" s="389">
        <f ca="1">NOW()</f>
        <v>41359.56477372685</v>
      </c>
      <c r="AC29" s="390"/>
    </row>
  </sheetData>
  <sheetProtection/>
  <mergeCells count="108">
    <mergeCell ref="A1:K1"/>
    <mergeCell ref="N1:AC1"/>
    <mergeCell ref="A2:B2"/>
    <mergeCell ref="C2:G2"/>
    <mergeCell ref="N2:O2"/>
    <mergeCell ref="P2:T2"/>
    <mergeCell ref="AA2:AC2"/>
    <mergeCell ref="C3:G4"/>
    <mergeCell ref="I3:K3"/>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N23:Q23"/>
    <mergeCell ref="R23:AB23"/>
    <mergeCell ref="A24:K24"/>
    <mergeCell ref="N24:Q24"/>
    <mergeCell ref="A25:E25"/>
    <mergeCell ref="G25:H25"/>
    <mergeCell ref="I25:K25"/>
    <mergeCell ref="P25:Q25"/>
    <mergeCell ref="R26:S26"/>
    <mergeCell ref="B27:C27"/>
    <mergeCell ref="G27:H27"/>
    <mergeCell ref="I27:J27"/>
    <mergeCell ref="K27:L27"/>
    <mergeCell ref="N27:P27"/>
    <mergeCell ref="R27:S27"/>
    <mergeCell ref="AB28:AC28"/>
    <mergeCell ref="R29:S29"/>
    <mergeCell ref="AB29:AC29"/>
    <mergeCell ref="W27:Z27"/>
    <mergeCell ref="B28:C28"/>
    <mergeCell ref="G28:H28"/>
    <mergeCell ref="I28:J28"/>
    <mergeCell ref="K28:L28"/>
    <mergeCell ref="R28:S28"/>
    <mergeCell ref="W28:X28"/>
  </mergeCells>
  <hyperlinks>
    <hyperlink ref="M1" location="'Menu List'!A1" display="BACK TO THE MENU LIST"/>
  </hyperlinks>
  <printOptions/>
  <pageMargins left="0.7" right="0.7" top="0.75" bottom="0.75" header="0.3" footer="0.3"/>
  <pageSetup horizontalDpi="600" verticalDpi="600" orientation="landscape" scale="79"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38.85156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48" customHeight="1" thickBot="1">
      <c r="A2" s="450" t="s">
        <v>44</v>
      </c>
      <c r="B2" s="450"/>
      <c r="C2" s="469" t="s">
        <v>144</v>
      </c>
      <c r="D2" s="469"/>
      <c r="E2" s="469"/>
      <c r="F2" s="469"/>
      <c r="G2" s="469"/>
      <c r="H2" s="214" t="s">
        <v>55</v>
      </c>
      <c r="I2" s="151">
        <v>100</v>
      </c>
      <c r="J2" s="214" t="s">
        <v>48</v>
      </c>
      <c r="K2" s="152" t="s">
        <v>379</v>
      </c>
      <c r="L2" s="152"/>
      <c r="M2" s="313"/>
      <c r="N2" s="508" t="s">
        <v>17</v>
      </c>
      <c r="O2" s="508"/>
      <c r="P2" s="471" t="str">
        <f>C2</f>
        <v>Mini Bison Burger Slider</v>
      </c>
      <c r="Q2" s="471"/>
      <c r="R2" s="471"/>
      <c r="S2" s="471"/>
      <c r="T2" s="472"/>
      <c r="U2" s="77"/>
      <c r="V2" s="77"/>
      <c r="W2" s="214" t="s">
        <v>55</v>
      </c>
      <c r="X2" s="78">
        <f>I2</f>
        <v>100</v>
      </c>
      <c r="Y2" s="79"/>
      <c r="Z2" s="80" t="s">
        <v>53</v>
      </c>
      <c r="AA2" s="532" t="str">
        <f>K2</f>
        <v>3 oz. per serving</v>
      </c>
      <c r="AB2" s="494"/>
      <c r="AC2" s="494"/>
      <c r="AD2" s="84"/>
      <c r="AE2" s="84"/>
      <c r="AF2" s="84"/>
      <c r="AG2" s="83"/>
      <c r="AH2" s="83"/>
    </row>
    <row r="3" spans="1:34" ht="11.25" customHeight="1">
      <c r="A3" s="212"/>
      <c r="B3" s="230"/>
      <c r="C3" s="519"/>
      <c r="D3" s="520"/>
      <c r="E3" s="520"/>
      <c r="F3" s="520"/>
      <c r="G3" s="520"/>
      <c r="H3" s="231"/>
      <c r="I3" s="219"/>
      <c r="J3" s="214"/>
      <c r="K3" s="81"/>
      <c r="L3" s="85"/>
      <c r="M3" s="312"/>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M4"/>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27.75" customHeight="1">
      <c r="A6" s="443" t="s">
        <v>380</v>
      </c>
      <c r="B6" s="444"/>
      <c r="C6" s="444"/>
      <c r="D6" s="445"/>
      <c r="E6" s="446" t="s">
        <v>236</v>
      </c>
      <c r="F6" s="447"/>
      <c r="G6" s="91">
        <v>1</v>
      </c>
      <c r="H6" s="444" t="s">
        <v>374</v>
      </c>
      <c r="I6" s="500"/>
      <c r="J6" s="500"/>
      <c r="K6" s="500"/>
      <c r="L6" s="500"/>
      <c r="M6" s="501"/>
      <c r="N6" s="429" t="str">
        <f aca="true" t="shared" si="0" ref="N6:N15">A6</f>
        <v>Bison Beef, ground</v>
      </c>
      <c r="O6" s="430"/>
      <c r="P6" s="430"/>
      <c r="Q6" s="430"/>
      <c r="R6" s="232">
        <v>0.2</v>
      </c>
      <c r="S6" s="161" t="s">
        <v>80</v>
      </c>
      <c r="T6" s="162">
        <f>R6*X2</f>
        <v>20</v>
      </c>
      <c r="U6" s="172">
        <f>(X2*R6)/AA6</f>
        <v>20</v>
      </c>
      <c r="V6" s="164" t="s">
        <v>228</v>
      </c>
      <c r="W6" s="165">
        <v>13.75</v>
      </c>
      <c r="X6" s="166">
        <f>U6/1</f>
        <v>20</v>
      </c>
      <c r="Y6" s="166" t="s">
        <v>80</v>
      </c>
      <c r="Z6" s="167">
        <f>W6*X6</f>
        <v>275</v>
      </c>
      <c r="AA6" s="168">
        <v>1</v>
      </c>
      <c r="AB6" s="169">
        <f>Z6/X2</f>
        <v>2.75</v>
      </c>
      <c r="AC6" s="170">
        <f>X2*AB6</f>
        <v>275</v>
      </c>
      <c r="AD6" s="103"/>
      <c r="AE6" s="103"/>
      <c r="AF6" s="103"/>
    </row>
    <row r="7" spans="1:32" ht="18.75" customHeight="1">
      <c r="A7" s="431" t="s">
        <v>382</v>
      </c>
      <c r="B7" s="432"/>
      <c r="C7" s="432"/>
      <c r="D7" s="433"/>
      <c r="E7" s="436" t="s">
        <v>381</v>
      </c>
      <c r="F7" s="435"/>
      <c r="G7" s="91"/>
      <c r="H7" s="432" t="s">
        <v>508</v>
      </c>
      <c r="I7" s="483"/>
      <c r="J7" s="483"/>
      <c r="K7" s="483"/>
      <c r="L7" s="483"/>
      <c r="M7" s="484"/>
      <c r="N7" s="429" t="str">
        <f t="shared" si="0"/>
        <v>Sea Salt, fine</v>
      </c>
      <c r="O7" s="430"/>
      <c r="P7" s="430"/>
      <c r="Q7" s="430"/>
      <c r="R7" s="232">
        <v>0.02</v>
      </c>
      <c r="S7" s="161" t="s">
        <v>215</v>
      </c>
      <c r="T7" s="176">
        <f>X2*R7</f>
        <v>2</v>
      </c>
      <c r="U7" s="172">
        <f>(X2*R7)/AA7</f>
        <v>2</v>
      </c>
      <c r="V7" s="164" t="s">
        <v>394</v>
      </c>
      <c r="W7" s="165">
        <v>3.13</v>
      </c>
      <c r="X7" s="166">
        <f>U7/2</f>
        <v>1</v>
      </c>
      <c r="Y7" s="166" t="s">
        <v>106</v>
      </c>
      <c r="Z7" s="167">
        <f>(W7/26)*X7</f>
        <v>0.12038461538461538</v>
      </c>
      <c r="AA7" s="168">
        <v>1</v>
      </c>
      <c r="AB7" s="169">
        <f>Z7/X2</f>
        <v>0.0012038461538461539</v>
      </c>
      <c r="AC7" s="170">
        <f>X2*AB7</f>
        <v>0.12038461538461538</v>
      </c>
      <c r="AD7" s="103"/>
      <c r="AE7" s="103"/>
      <c r="AF7" s="103"/>
    </row>
    <row r="8" spans="1:32" ht="18.75" customHeight="1">
      <c r="A8" s="431" t="s">
        <v>383</v>
      </c>
      <c r="B8" s="432"/>
      <c r="C8" s="432"/>
      <c r="D8" s="433"/>
      <c r="E8" s="434" t="s">
        <v>384</v>
      </c>
      <c r="F8" s="435"/>
      <c r="G8" s="91">
        <v>2</v>
      </c>
      <c r="H8" s="432" t="s">
        <v>375</v>
      </c>
      <c r="I8" s="483"/>
      <c r="J8" s="483"/>
      <c r="K8" s="483"/>
      <c r="L8" s="483"/>
      <c r="M8" s="484"/>
      <c r="N8" s="429" t="str">
        <f>A8</f>
        <v>Black Pepper, freshly ground</v>
      </c>
      <c r="O8" s="430"/>
      <c r="P8" s="430"/>
      <c r="Q8" s="430"/>
      <c r="R8" s="79">
        <v>0.01</v>
      </c>
      <c r="S8" s="161" t="s">
        <v>215</v>
      </c>
      <c r="T8" s="162">
        <f>X2*R8</f>
        <v>1</v>
      </c>
      <c r="U8" s="172">
        <f>(X2*R8)/AA8</f>
        <v>1</v>
      </c>
      <c r="V8" s="164"/>
      <c r="W8" s="165"/>
      <c r="X8" s="166">
        <f>U8/1</f>
        <v>1</v>
      </c>
      <c r="Y8" s="166"/>
      <c r="Z8" s="167">
        <f>W8*X8</f>
        <v>0</v>
      </c>
      <c r="AA8" s="168">
        <v>1</v>
      </c>
      <c r="AB8" s="169">
        <f>Z8/X2</f>
        <v>0</v>
      </c>
      <c r="AC8" s="170">
        <f>X2*AB8</f>
        <v>0</v>
      </c>
      <c r="AD8" s="103"/>
      <c r="AE8" s="103"/>
      <c r="AF8" s="103"/>
    </row>
    <row r="9" spans="1:32" ht="30" customHeight="1">
      <c r="A9" s="431" t="s">
        <v>385</v>
      </c>
      <c r="B9" s="432"/>
      <c r="C9" s="432"/>
      <c r="D9" s="433"/>
      <c r="E9" s="436" t="s">
        <v>386</v>
      </c>
      <c r="F9" s="435"/>
      <c r="G9" s="91">
        <v>3</v>
      </c>
      <c r="H9" s="432" t="s">
        <v>510</v>
      </c>
      <c r="I9" s="483"/>
      <c r="J9" s="483"/>
      <c r="K9" s="483"/>
      <c r="L9" s="483"/>
      <c r="M9" s="484"/>
      <c r="N9" s="429" t="str">
        <f t="shared" si="0"/>
        <v>Garlic,  large bulbs</v>
      </c>
      <c r="O9" s="430"/>
      <c r="P9" s="430"/>
      <c r="Q9" s="430"/>
      <c r="R9" s="79">
        <v>0.2</v>
      </c>
      <c r="S9" s="161" t="s">
        <v>393</v>
      </c>
      <c r="T9" s="162">
        <f>X2*R9</f>
        <v>20</v>
      </c>
      <c r="U9" s="172">
        <f>(X2*R9)/AA9</f>
        <v>22.727272727272727</v>
      </c>
      <c r="V9" s="164" t="s">
        <v>165</v>
      </c>
      <c r="W9" s="165">
        <v>12.72</v>
      </c>
      <c r="X9" s="166">
        <f>(U9*1)/7</f>
        <v>3.2467532467532467</v>
      </c>
      <c r="Y9" s="166" t="s">
        <v>80</v>
      </c>
      <c r="Z9" s="167">
        <f>(W9/5)*X9</f>
        <v>8.25974025974026</v>
      </c>
      <c r="AA9" s="168">
        <v>0.88</v>
      </c>
      <c r="AB9" s="169">
        <f>Z9/X2</f>
        <v>0.0825974025974026</v>
      </c>
      <c r="AC9" s="170">
        <f>X2*AB9</f>
        <v>8.25974025974026</v>
      </c>
      <c r="AD9" s="103"/>
      <c r="AE9" s="103"/>
      <c r="AF9" s="103"/>
    </row>
    <row r="10" spans="1:32" ht="30.75" customHeight="1">
      <c r="A10" s="431" t="s">
        <v>387</v>
      </c>
      <c r="B10" s="432"/>
      <c r="C10" s="432"/>
      <c r="D10" s="433"/>
      <c r="E10" s="436" t="s">
        <v>58</v>
      </c>
      <c r="F10" s="435"/>
      <c r="G10" s="91">
        <v>4</v>
      </c>
      <c r="H10" s="432" t="s">
        <v>511</v>
      </c>
      <c r="I10" s="494"/>
      <c r="J10" s="494"/>
      <c r="K10" s="494"/>
      <c r="L10" s="494"/>
      <c r="M10" s="495"/>
      <c r="N10" s="429" t="str">
        <f t="shared" si="0"/>
        <v>Cooking Oil (grapeseed or peanut)</v>
      </c>
      <c r="O10" s="430"/>
      <c r="P10" s="430"/>
      <c r="Q10" s="430"/>
      <c r="R10" s="174">
        <v>0.02</v>
      </c>
      <c r="S10" s="161" t="s">
        <v>67</v>
      </c>
      <c r="T10" s="162">
        <f>X2*R10</f>
        <v>2</v>
      </c>
      <c r="U10" s="172">
        <f>(X2*R10)/AA10</f>
        <v>2</v>
      </c>
      <c r="V10" s="164"/>
      <c r="W10" s="165"/>
      <c r="X10" s="166">
        <f aca="true" t="shared" si="1" ref="X10:X15">U10/1</f>
        <v>2</v>
      </c>
      <c r="Y10" s="166"/>
      <c r="Z10" s="167">
        <f>W10*X10</f>
        <v>0</v>
      </c>
      <c r="AA10" s="168">
        <v>1</v>
      </c>
      <c r="AB10" s="169">
        <f>Z10/X2</f>
        <v>0</v>
      </c>
      <c r="AC10" s="170">
        <f>X2*AB10</f>
        <v>0</v>
      </c>
      <c r="AD10" s="103"/>
      <c r="AE10" s="103"/>
      <c r="AF10" s="103"/>
    </row>
    <row r="11" spans="1:32" ht="21" customHeight="1">
      <c r="A11" s="431" t="s">
        <v>388</v>
      </c>
      <c r="B11" s="432"/>
      <c r="C11" s="432"/>
      <c r="D11" s="433"/>
      <c r="E11" s="436" t="s">
        <v>236</v>
      </c>
      <c r="F11" s="435"/>
      <c r="G11" s="91">
        <v>5</v>
      </c>
      <c r="H11" s="432" t="s">
        <v>509</v>
      </c>
      <c r="I11" s="494"/>
      <c r="J11" s="494"/>
      <c r="K11" s="494"/>
      <c r="L11" s="494"/>
      <c r="M11" s="495"/>
      <c r="N11" s="438" t="str">
        <f t="shared" si="0"/>
        <v>Yellow Onions, fresh, sliced</v>
      </c>
      <c r="O11" s="439"/>
      <c r="P11" s="439"/>
      <c r="Q11" s="439"/>
      <c r="R11" s="79">
        <v>0.2</v>
      </c>
      <c r="S11" s="161" t="s">
        <v>80</v>
      </c>
      <c r="T11" s="162">
        <f>X2*R11</f>
        <v>20</v>
      </c>
      <c r="U11" s="172">
        <f>(X2*R11)/AA11</f>
        <v>22.22222222222222</v>
      </c>
      <c r="V11" s="233" t="s">
        <v>395</v>
      </c>
      <c r="W11" s="165">
        <v>19.8</v>
      </c>
      <c r="X11" s="166">
        <f t="shared" si="1"/>
        <v>22.22222222222222</v>
      </c>
      <c r="Y11" s="166" t="s">
        <v>80</v>
      </c>
      <c r="Z11" s="167">
        <f>(W11/50)*X11</f>
        <v>8.8</v>
      </c>
      <c r="AA11" s="168">
        <v>0.9</v>
      </c>
      <c r="AB11" s="169">
        <f>Z11/X2</f>
        <v>0.08800000000000001</v>
      </c>
      <c r="AC11" s="170">
        <f>X2*AB11</f>
        <v>8.8</v>
      </c>
      <c r="AD11" s="103"/>
      <c r="AE11" s="103"/>
      <c r="AF11" s="103"/>
    </row>
    <row r="12" spans="1:32" ht="18.75" customHeight="1">
      <c r="A12" s="431" t="s">
        <v>389</v>
      </c>
      <c r="B12" s="432"/>
      <c r="C12" s="432"/>
      <c r="D12" s="433"/>
      <c r="E12" s="436" t="s">
        <v>164</v>
      </c>
      <c r="F12" s="435"/>
      <c r="G12" s="91">
        <v>6</v>
      </c>
      <c r="H12" s="432" t="s">
        <v>376</v>
      </c>
      <c r="I12" s="494"/>
      <c r="J12" s="494"/>
      <c r="K12" s="494"/>
      <c r="L12" s="494"/>
      <c r="M12" s="495"/>
      <c r="N12" s="431" t="str">
        <f>A12</f>
        <v>Mushrooms, fresh, sliced</v>
      </c>
      <c r="O12" s="437"/>
      <c r="P12" s="437"/>
      <c r="Q12" s="437"/>
      <c r="R12" s="232">
        <v>0.1</v>
      </c>
      <c r="S12" s="161" t="s">
        <v>80</v>
      </c>
      <c r="T12" s="162">
        <f>X2*R12</f>
        <v>10</v>
      </c>
      <c r="U12" s="172">
        <f>(X2*R12)/AA12</f>
        <v>10.309278350515465</v>
      </c>
      <c r="V12" s="234" t="s">
        <v>164</v>
      </c>
      <c r="W12" s="165">
        <v>19.08</v>
      </c>
      <c r="X12" s="166">
        <f t="shared" si="1"/>
        <v>10.309278350515465</v>
      </c>
      <c r="Y12" s="166" t="s">
        <v>80</v>
      </c>
      <c r="Z12" s="167">
        <f>(W12/10)*X12</f>
        <v>19.670103092783506</v>
      </c>
      <c r="AA12" s="168">
        <v>0.97</v>
      </c>
      <c r="AB12" s="169">
        <f>Z12/X2</f>
        <v>0.19670103092783506</v>
      </c>
      <c r="AC12" s="170">
        <f>X2*AB12</f>
        <v>19.670103092783506</v>
      </c>
      <c r="AD12" s="103"/>
      <c r="AE12" s="103"/>
      <c r="AF12" s="103"/>
    </row>
    <row r="13" spans="1:32" ht="18.75" customHeight="1">
      <c r="A13" s="431" t="s">
        <v>390</v>
      </c>
      <c r="B13" s="432"/>
      <c r="C13" s="432"/>
      <c r="D13" s="433"/>
      <c r="E13" s="434" t="s">
        <v>391</v>
      </c>
      <c r="F13" s="435"/>
      <c r="G13" s="91">
        <v>7</v>
      </c>
      <c r="H13" s="432" t="s">
        <v>377</v>
      </c>
      <c r="I13" s="483"/>
      <c r="J13" s="483"/>
      <c r="K13" s="483"/>
      <c r="L13" s="483"/>
      <c r="M13" s="484"/>
      <c r="N13" s="429" t="str">
        <f t="shared" si="0"/>
        <v>Cheddar Cheese, sliced</v>
      </c>
      <c r="O13" s="430"/>
      <c r="P13" s="430"/>
      <c r="Q13" s="430"/>
      <c r="R13" s="79">
        <v>0.04</v>
      </c>
      <c r="S13" s="161" t="s">
        <v>80</v>
      </c>
      <c r="T13" s="162">
        <f>X2*R13</f>
        <v>4</v>
      </c>
      <c r="U13" s="172">
        <f>(X2*R13)/AA13</f>
        <v>4</v>
      </c>
      <c r="V13" s="164" t="s">
        <v>391</v>
      </c>
      <c r="W13" s="165">
        <v>13.09</v>
      </c>
      <c r="X13" s="166">
        <f t="shared" si="1"/>
        <v>4</v>
      </c>
      <c r="Y13" s="166" t="s">
        <v>80</v>
      </c>
      <c r="Z13" s="167">
        <f>(W13/4)*X13</f>
        <v>13.09</v>
      </c>
      <c r="AA13" s="168">
        <v>1</v>
      </c>
      <c r="AB13" s="169">
        <f>Z13/X2</f>
        <v>0.1309</v>
      </c>
      <c r="AC13" s="170">
        <f>X2*AB13</f>
        <v>13.089999999999998</v>
      </c>
      <c r="AD13" s="103"/>
      <c r="AE13" s="103"/>
      <c r="AF13" s="103"/>
    </row>
    <row r="14" spans="1:32" ht="18.75" customHeight="1">
      <c r="A14" s="431" t="s">
        <v>392</v>
      </c>
      <c r="B14" s="432"/>
      <c r="C14" s="432"/>
      <c r="D14" s="433"/>
      <c r="E14" s="434" t="s">
        <v>318</v>
      </c>
      <c r="F14" s="435"/>
      <c r="G14" s="91">
        <v>8</v>
      </c>
      <c r="H14" s="432" t="s">
        <v>378</v>
      </c>
      <c r="I14" s="483"/>
      <c r="J14" s="483"/>
      <c r="K14" s="483"/>
      <c r="L14" s="483"/>
      <c r="M14" s="484"/>
      <c r="N14" s="429" t="str">
        <f t="shared" si="0"/>
        <v>Hamburger buns, small 3 inch</v>
      </c>
      <c r="O14" s="430"/>
      <c r="P14" s="430"/>
      <c r="Q14" s="430"/>
      <c r="R14" s="79">
        <v>1</v>
      </c>
      <c r="S14" s="161" t="s">
        <v>249</v>
      </c>
      <c r="T14" s="162">
        <f>X2*R14</f>
        <v>100</v>
      </c>
      <c r="U14" s="172">
        <f>(X2*R14)/AA14</f>
        <v>100</v>
      </c>
      <c r="V14" s="164" t="s">
        <v>396</v>
      </c>
      <c r="W14" s="165">
        <v>20.8</v>
      </c>
      <c r="X14" s="166">
        <f t="shared" si="1"/>
        <v>100</v>
      </c>
      <c r="Y14" s="166"/>
      <c r="Z14" s="167">
        <f>(W14/96)*X14</f>
        <v>21.666666666666668</v>
      </c>
      <c r="AA14" s="168">
        <v>1</v>
      </c>
      <c r="AB14" s="169">
        <f>Z14/X2</f>
        <v>0.21666666666666667</v>
      </c>
      <c r="AC14" s="170">
        <f>X2*AB14</f>
        <v>21.666666666666668</v>
      </c>
      <c r="AD14" s="103"/>
      <c r="AE14" s="103"/>
      <c r="AF14" s="103"/>
    </row>
    <row r="15" spans="1:32" ht="18.75" customHeight="1">
      <c r="A15" s="431"/>
      <c r="B15" s="432"/>
      <c r="C15" s="432"/>
      <c r="D15" s="433"/>
      <c r="E15" s="434"/>
      <c r="F15" s="435"/>
      <c r="G15" s="91"/>
      <c r="H15" s="432"/>
      <c r="I15" s="483"/>
      <c r="J15" s="483"/>
      <c r="K15" s="483"/>
      <c r="L15" s="483"/>
      <c r="M15" s="484"/>
      <c r="N15" s="429">
        <f t="shared" si="0"/>
        <v>0</v>
      </c>
      <c r="O15" s="430"/>
      <c r="P15" s="430"/>
      <c r="Q15" s="430"/>
      <c r="R15" s="79"/>
      <c r="S15" s="161"/>
      <c r="T15" s="162">
        <f>X2*R15</f>
        <v>0</v>
      </c>
      <c r="U15" s="172">
        <f>(X2*R15)/AA15</f>
        <v>0</v>
      </c>
      <c r="V15" s="164"/>
      <c r="W15" s="165"/>
      <c r="X15" s="166">
        <f t="shared" si="1"/>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c r="H16" s="432"/>
      <c r="I16" s="483"/>
      <c r="J16" s="483"/>
      <c r="K16" s="483"/>
      <c r="L16" s="483"/>
      <c r="M16" s="484"/>
      <c r="N16" s="429"/>
      <c r="O16" s="430"/>
      <c r="P16" s="430"/>
      <c r="Q16" s="430"/>
      <c r="R16" s="79"/>
      <c r="S16" s="161"/>
      <c r="T16" s="162"/>
      <c r="U16" s="172"/>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483"/>
      <c r="J17" s="483"/>
      <c r="K17" s="483"/>
      <c r="L17" s="483"/>
      <c r="M17" s="484"/>
      <c r="N17" s="429"/>
      <c r="O17" s="430"/>
      <c r="P17" s="430"/>
      <c r="Q17" s="430"/>
      <c r="R17" s="79"/>
      <c r="S17" s="161"/>
      <c r="T17" s="162"/>
      <c r="U17" s="172"/>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483"/>
      <c r="J18" s="483"/>
      <c r="K18" s="483"/>
      <c r="L18" s="483"/>
      <c r="M18" s="484"/>
      <c r="N18" s="429"/>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92"/>
      <c r="G19" s="91"/>
      <c r="H19" s="432"/>
      <c r="I19" s="432"/>
      <c r="J19" s="432"/>
      <c r="K19" s="432"/>
      <c r="L19" s="432"/>
      <c r="M19" s="433"/>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32"/>
      <c r="J20" s="432"/>
      <c r="K20" s="432"/>
      <c r="L20" s="432"/>
      <c r="M20" s="433"/>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422" t="s">
        <v>47</v>
      </c>
      <c r="O23" s="423"/>
      <c r="P23" s="423"/>
      <c r="Q23" s="424"/>
      <c r="R23" s="425" t="s">
        <v>7</v>
      </c>
      <c r="S23" s="424"/>
      <c r="T23" s="424"/>
      <c r="U23" s="424"/>
      <c r="V23" s="424"/>
      <c r="W23" s="424"/>
      <c r="X23" s="424"/>
      <c r="Y23" s="424"/>
      <c r="Z23" s="424"/>
      <c r="AA23" s="424"/>
      <c r="AB23" s="424"/>
      <c r="AC23" s="115">
        <f>ROUNDUP(SUM(AC6:AC22),5)</f>
        <v>346.6069</v>
      </c>
      <c r="AD23" s="103"/>
      <c r="AE23" s="103"/>
      <c r="AF23" s="103"/>
    </row>
    <row r="24" spans="1:32" ht="20.25" customHeight="1">
      <c r="A24" s="478" t="s">
        <v>45</v>
      </c>
      <c r="B24" s="479"/>
      <c r="C24" s="479"/>
      <c r="D24" s="479"/>
      <c r="E24" s="479"/>
      <c r="F24" s="479"/>
      <c r="G24" s="479"/>
      <c r="H24" s="479"/>
      <c r="I24" s="479"/>
      <c r="J24" s="479"/>
      <c r="K24" s="480"/>
      <c r="L24" s="116"/>
      <c r="M24" s="116"/>
      <c r="N24" s="524"/>
      <c r="O24" s="525"/>
      <c r="P24" s="525"/>
      <c r="Q24" s="525"/>
      <c r="R24" s="134"/>
      <c r="S24" s="134"/>
      <c r="T24" s="134"/>
      <c r="U24" s="134"/>
      <c r="V24" s="134"/>
      <c r="W24" s="135" t="s">
        <v>9</v>
      </c>
      <c r="X24" s="135"/>
      <c r="Y24" s="135"/>
      <c r="Z24" s="135"/>
      <c r="AA24" s="135"/>
      <c r="AB24" s="135"/>
      <c r="AC24" s="117">
        <f>ROUND(AC23*10/100,5)</f>
        <v>34.66069</v>
      </c>
      <c r="AD24" s="103"/>
      <c r="AE24" s="103"/>
      <c r="AF24" s="103"/>
    </row>
    <row r="25" spans="1:32" ht="30" customHeight="1" thickBot="1">
      <c r="A25" s="409" t="s">
        <v>42</v>
      </c>
      <c r="B25" s="481"/>
      <c r="C25" s="481"/>
      <c r="D25" s="481"/>
      <c r="E25" s="481"/>
      <c r="F25" s="218"/>
      <c r="G25" s="411" t="s">
        <v>46</v>
      </c>
      <c r="H25" s="411"/>
      <c r="I25" s="411" t="s">
        <v>379</v>
      </c>
      <c r="J25" s="481"/>
      <c r="K25" s="482"/>
      <c r="L25" s="218"/>
      <c r="M25" s="218"/>
      <c r="N25" s="119"/>
      <c r="O25" s="217"/>
      <c r="P25" s="507"/>
      <c r="Q25" s="507"/>
      <c r="R25" s="138"/>
      <c r="S25" s="138"/>
      <c r="T25" s="138"/>
      <c r="U25" s="138"/>
      <c r="V25" s="138"/>
      <c r="W25" s="139" t="s">
        <v>6</v>
      </c>
      <c r="X25" s="139"/>
      <c r="Y25" s="139"/>
      <c r="Z25" s="139"/>
      <c r="AA25" s="139"/>
      <c r="AB25" s="139"/>
      <c r="AC25" s="120">
        <f>AC23+AC24</f>
        <v>381.26759</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533" t="s">
        <v>40</v>
      </c>
      <c r="H27" s="534"/>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3.8126759</v>
      </c>
      <c r="AD27" s="122"/>
      <c r="AE27" s="122"/>
      <c r="AF27" s="122"/>
    </row>
    <row r="28" spans="1:32" ht="37.5" customHeight="1">
      <c r="A28" s="220"/>
      <c r="B28" s="393"/>
      <c r="C28" s="393"/>
      <c r="D28" s="63"/>
      <c r="E28" s="63"/>
      <c r="F28" s="63"/>
      <c r="G28" s="533"/>
      <c r="H28" s="534"/>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381.26759</v>
      </c>
      <c r="Q29" s="126">
        <v>0</v>
      </c>
      <c r="R29" s="387">
        <f>P29+Q29</f>
        <v>381.26759</v>
      </c>
      <c r="S29" s="388"/>
      <c r="T29" s="127"/>
      <c r="U29" s="128"/>
      <c r="V29" s="128"/>
      <c r="W29" s="119"/>
      <c r="X29" s="129">
        <f>AC27/AA29</f>
        <v>12.708919666666667</v>
      </c>
      <c r="Y29" s="129"/>
      <c r="Z29" s="129"/>
      <c r="AA29" s="130">
        <v>0.3</v>
      </c>
      <c r="AB29" s="389">
        <f ca="1">NOW()</f>
        <v>41359.56477372685</v>
      </c>
      <c r="AC29" s="390"/>
    </row>
  </sheetData>
  <sheetProtection/>
  <mergeCells count="107">
    <mergeCell ref="N19:Q19"/>
    <mergeCell ref="H20:M20"/>
    <mergeCell ref="E19:F19"/>
    <mergeCell ref="A19:D19"/>
    <mergeCell ref="H19:M19"/>
    <mergeCell ref="AB28:AC28"/>
    <mergeCell ref="R26:S26"/>
    <mergeCell ref="G27:H27"/>
    <mergeCell ref="I27:J27"/>
    <mergeCell ref="K27:L27"/>
    <mergeCell ref="R29:S29"/>
    <mergeCell ref="AB29:AC29"/>
    <mergeCell ref="W27:Z27"/>
    <mergeCell ref="B28:C28"/>
    <mergeCell ref="G28:H28"/>
    <mergeCell ref="I28:J28"/>
    <mergeCell ref="K28:L28"/>
    <mergeCell ref="R28:S28"/>
    <mergeCell ref="W28:X28"/>
    <mergeCell ref="B27:C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N20:Q20"/>
    <mergeCell ref="A21:D21"/>
    <mergeCell ref="E21:F21"/>
    <mergeCell ref="H21:M21"/>
    <mergeCell ref="N21:Q21"/>
    <mergeCell ref="A18:D18"/>
    <mergeCell ref="E18:F18"/>
    <mergeCell ref="H18:M18"/>
    <mergeCell ref="N18:Q18"/>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78"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95" customWidth="1"/>
    <col min="2" max="3" width="9.140625" style="295" customWidth="1"/>
    <col min="4" max="4" width="10.8515625" style="295" customWidth="1"/>
    <col min="5" max="5" width="9.140625" style="295" customWidth="1"/>
    <col min="6" max="6" width="11.421875" style="295" customWidth="1"/>
    <col min="7" max="7" width="4.8515625" style="295" customWidth="1"/>
    <col min="8" max="8" width="8.57421875" style="295" customWidth="1"/>
    <col min="9" max="9" width="9.8515625" style="295" customWidth="1"/>
    <col min="10" max="10" width="8.57421875" style="295" customWidth="1"/>
    <col min="11" max="12" width="13.7109375" style="295" customWidth="1"/>
    <col min="13" max="13" width="38.8515625" style="295" customWidth="1"/>
    <col min="14" max="16" width="9.140625" style="295" customWidth="1"/>
    <col min="17" max="17" width="11.8515625" style="295" customWidth="1"/>
    <col min="18" max="18" width="9.57421875" style="295" customWidth="1"/>
    <col min="19" max="19" width="8.140625" style="295" customWidth="1"/>
    <col min="20" max="20" width="10.421875" style="295" customWidth="1"/>
    <col min="21" max="21" width="9.8515625" style="295" customWidth="1"/>
    <col min="22" max="22" width="10.140625" style="295" customWidth="1"/>
    <col min="23" max="23" width="11.140625" style="295" customWidth="1"/>
    <col min="24" max="24" width="11.57421875" style="295" customWidth="1"/>
    <col min="25" max="25" width="4.28125" style="295" customWidth="1"/>
    <col min="26" max="26" width="10.7109375" style="295" customWidth="1"/>
    <col min="27" max="27" width="9.00390625" style="295" customWidth="1"/>
    <col min="28" max="28" width="9.28125" style="295" customWidth="1"/>
    <col min="29" max="29" width="11.57421875" style="295" customWidth="1"/>
    <col min="30" max="32" width="9.00390625" style="295" customWidth="1"/>
    <col min="33" max="16384" width="9.140625" style="295" customWidth="1"/>
  </cols>
  <sheetData>
    <row r="1" spans="1:34" ht="21.75" thickBot="1">
      <c r="A1" s="466" t="s">
        <v>43</v>
      </c>
      <c r="B1" s="466"/>
      <c r="C1" s="466"/>
      <c r="D1" s="466"/>
      <c r="E1" s="466"/>
      <c r="F1" s="466"/>
      <c r="G1" s="466"/>
      <c r="H1" s="466"/>
      <c r="I1" s="466"/>
      <c r="J1" s="466"/>
      <c r="K1" s="466"/>
      <c r="L1" s="66"/>
      <c r="M1" s="242" t="s">
        <v>139</v>
      </c>
      <c r="N1" s="467" t="s">
        <v>56</v>
      </c>
      <c r="O1" s="468"/>
      <c r="P1" s="468"/>
      <c r="Q1" s="468"/>
      <c r="R1" s="468"/>
      <c r="S1" s="468"/>
      <c r="T1" s="468"/>
      <c r="U1" s="468"/>
      <c r="V1" s="468"/>
      <c r="W1" s="468"/>
      <c r="X1" s="468"/>
      <c r="Y1" s="468"/>
      <c r="Z1" s="468"/>
      <c r="AA1" s="468"/>
      <c r="AB1" s="468"/>
      <c r="AC1" s="468"/>
      <c r="AD1" s="289"/>
      <c r="AE1" s="289"/>
      <c r="AF1" s="289"/>
      <c r="AG1" s="70"/>
      <c r="AH1" s="70"/>
    </row>
    <row r="2" spans="1:34" ht="52.5" customHeight="1" thickBot="1">
      <c r="A2" s="450" t="s">
        <v>44</v>
      </c>
      <c r="B2" s="450"/>
      <c r="C2" s="469" t="s">
        <v>145</v>
      </c>
      <c r="D2" s="469"/>
      <c r="E2" s="469"/>
      <c r="F2" s="469"/>
      <c r="G2" s="469"/>
      <c r="H2" s="293" t="s">
        <v>55</v>
      </c>
      <c r="I2" s="151">
        <v>100</v>
      </c>
      <c r="J2" s="293" t="s">
        <v>48</v>
      </c>
      <c r="K2" s="152" t="s">
        <v>63</v>
      </c>
      <c r="L2" s="152"/>
      <c r="M2" s="153"/>
      <c r="N2" s="508" t="s">
        <v>17</v>
      </c>
      <c r="O2" s="508"/>
      <c r="P2" s="471" t="str">
        <f>C2</f>
        <v>Mini Crab Cake Slider</v>
      </c>
      <c r="Q2" s="471"/>
      <c r="R2" s="471"/>
      <c r="S2" s="471"/>
      <c r="T2" s="472"/>
      <c r="U2" s="77"/>
      <c r="V2" s="77"/>
      <c r="W2" s="293" t="s">
        <v>55</v>
      </c>
      <c r="X2" s="78">
        <f>I2</f>
        <v>100</v>
      </c>
      <c r="Y2" s="79"/>
      <c r="Z2" s="80" t="s">
        <v>53</v>
      </c>
      <c r="AA2" s="518" t="str">
        <f>K2</f>
        <v>1 each</v>
      </c>
      <c r="AB2" s="398"/>
      <c r="AC2" s="398"/>
      <c r="AD2" s="84"/>
      <c r="AE2" s="84"/>
      <c r="AF2" s="84"/>
      <c r="AG2" s="83"/>
      <c r="AH2" s="83"/>
    </row>
    <row r="3" spans="1:34" ht="11.25" customHeight="1">
      <c r="A3" s="286"/>
      <c r="B3" s="230"/>
      <c r="C3" s="519" t="s">
        <v>245</v>
      </c>
      <c r="D3" s="520"/>
      <c r="E3" s="520"/>
      <c r="F3" s="520"/>
      <c r="G3" s="520"/>
      <c r="H3" s="231"/>
      <c r="I3" s="289"/>
      <c r="J3" s="293"/>
      <c r="K3" s="81"/>
      <c r="L3" s="85"/>
      <c r="M3" s="86"/>
      <c r="N3" s="293"/>
      <c r="O3" s="293"/>
      <c r="P3" s="522" t="str">
        <f>C3</f>
        <v>Taste of New Orleans</v>
      </c>
      <c r="Q3" s="523"/>
      <c r="R3" s="523"/>
      <c r="S3" s="523"/>
      <c r="T3" s="523"/>
      <c r="U3" s="523"/>
      <c r="V3" s="523"/>
      <c r="W3" s="293"/>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8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88" t="s">
        <v>31</v>
      </c>
      <c r="S5" s="287" t="s">
        <v>2</v>
      </c>
      <c r="T5" s="288" t="s">
        <v>51</v>
      </c>
      <c r="U5" s="288" t="s">
        <v>30</v>
      </c>
      <c r="V5" s="288" t="s">
        <v>49</v>
      </c>
      <c r="W5" s="288" t="s">
        <v>57</v>
      </c>
      <c r="X5" s="442" t="s">
        <v>75</v>
      </c>
      <c r="Y5" s="442"/>
      <c r="Z5" s="288" t="s">
        <v>50</v>
      </c>
      <c r="AA5" s="288" t="s">
        <v>13</v>
      </c>
      <c r="AB5" s="288" t="s">
        <v>61</v>
      </c>
      <c r="AC5" s="133" t="s">
        <v>62</v>
      </c>
      <c r="AD5" s="289"/>
      <c r="AE5" s="289"/>
      <c r="AF5" s="289"/>
    </row>
    <row r="6" spans="1:32" ht="18.75" customHeight="1">
      <c r="A6" s="443" t="s">
        <v>326</v>
      </c>
      <c r="B6" s="444"/>
      <c r="C6" s="444"/>
      <c r="D6" s="445"/>
      <c r="E6" s="446" t="s">
        <v>318</v>
      </c>
      <c r="F6" s="447"/>
      <c r="G6" s="91">
        <v>1</v>
      </c>
      <c r="H6" s="444" t="s">
        <v>515</v>
      </c>
      <c r="I6" s="500"/>
      <c r="J6" s="500"/>
      <c r="K6" s="500"/>
      <c r="L6" s="500"/>
      <c r="M6" s="501"/>
      <c r="N6" s="429" t="str">
        <f>A6</f>
        <v>Crab Cakes 2 oz. (conv) </v>
      </c>
      <c r="O6" s="430"/>
      <c r="P6" s="430"/>
      <c r="Q6" s="430"/>
      <c r="R6" s="232">
        <v>1</v>
      </c>
      <c r="S6" s="161" t="s">
        <v>249</v>
      </c>
      <c r="T6" s="162">
        <f>R6*X2</f>
        <v>100</v>
      </c>
      <c r="U6" s="172">
        <f>(X2*R6)/AA6</f>
        <v>100</v>
      </c>
      <c r="V6" s="164" t="s">
        <v>327</v>
      </c>
      <c r="W6" s="165">
        <v>44.2</v>
      </c>
      <c r="X6" s="166">
        <f>(U6*2)/16</f>
        <v>12.5</v>
      </c>
      <c r="Y6" s="166" t="s">
        <v>80</v>
      </c>
      <c r="Z6" s="167">
        <f>(W6/4/3.5)*X6</f>
        <v>39.464285714285715</v>
      </c>
      <c r="AA6" s="168">
        <v>1</v>
      </c>
      <c r="AB6" s="169">
        <f>Z6/X2</f>
        <v>0.39464285714285713</v>
      </c>
      <c r="AC6" s="170">
        <f>X2*AB6</f>
        <v>39.464285714285715</v>
      </c>
      <c r="AD6" s="103"/>
      <c r="AE6" s="103"/>
      <c r="AF6" s="103"/>
    </row>
    <row r="7" spans="1:32" ht="18.75" customHeight="1">
      <c r="A7" s="431" t="s">
        <v>319</v>
      </c>
      <c r="B7" s="432"/>
      <c r="C7" s="432"/>
      <c r="D7" s="433"/>
      <c r="E7" s="436" t="s">
        <v>318</v>
      </c>
      <c r="F7" s="435"/>
      <c r="G7" s="91"/>
      <c r="H7" s="432" t="s">
        <v>320</v>
      </c>
      <c r="I7" s="483"/>
      <c r="J7" s="483"/>
      <c r="K7" s="483"/>
      <c r="L7" s="483"/>
      <c r="M7" s="484"/>
      <c r="N7" s="429" t="str">
        <f>A7</f>
        <v>Roll, Sweet Silver Dollar RND (1.3 oz. - 1.5oz. )</v>
      </c>
      <c r="O7" s="430"/>
      <c r="P7" s="430"/>
      <c r="Q7" s="430"/>
      <c r="R7" s="232">
        <v>1</v>
      </c>
      <c r="S7" s="161" t="s">
        <v>249</v>
      </c>
      <c r="T7" s="176">
        <f>X2*R7</f>
        <v>100</v>
      </c>
      <c r="U7" s="172">
        <f>(X2*R7)/AA7</f>
        <v>100</v>
      </c>
      <c r="V7" s="164" t="s">
        <v>328</v>
      </c>
      <c r="W7" s="165">
        <v>24.43</v>
      </c>
      <c r="X7" s="166">
        <f>U7/1</f>
        <v>100</v>
      </c>
      <c r="Y7" s="166" t="s">
        <v>66</v>
      </c>
      <c r="Z7" s="167">
        <f>(W7/120)*X7</f>
        <v>20.358333333333334</v>
      </c>
      <c r="AA7" s="168">
        <v>1</v>
      </c>
      <c r="AB7" s="169">
        <f>Z7/X2</f>
        <v>0.20358333333333334</v>
      </c>
      <c r="AC7" s="170">
        <f>X2*AB7</f>
        <v>20.358333333333334</v>
      </c>
      <c r="AD7" s="103"/>
      <c r="AE7" s="103"/>
      <c r="AF7" s="103"/>
    </row>
    <row r="8" spans="1:32" ht="36.75" customHeight="1">
      <c r="A8" s="431" t="s">
        <v>322</v>
      </c>
      <c r="B8" s="432"/>
      <c r="C8" s="432"/>
      <c r="D8" s="433"/>
      <c r="E8" s="434" t="s">
        <v>323</v>
      </c>
      <c r="F8" s="435"/>
      <c r="G8" s="91">
        <v>2</v>
      </c>
      <c r="H8" s="432" t="s">
        <v>321</v>
      </c>
      <c r="I8" s="483"/>
      <c r="J8" s="483"/>
      <c r="K8" s="483"/>
      <c r="L8" s="483"/>
      <c r="M8" s="484"/>
      <c r="N8" s="429" t="str">
        <f>A8</f>
        <v>Tomato, Roma, Slices</v>
      </c>
      <c r="O8" s="430"/>
      <c r="P8" s="430"/>
      <c r="Q8" s="430"/>
      <c r="R8" s="79">
        <v>0.03</v>
      </c>
      <c r="S8" s="161" t="s">
        <v>80</v>
      </c>
      <c r="T8" s="162">
        <f>X2*R8</f>
        <v>3</v>
      </c>
      <c r="U8" s="172">
        <f>(X2*R8)/AA8</f>
        <v>3.2967032967032965</v>
      </c>
      <c r="V8" s="164" t="s">
        <v>163</v>
      </c>
      <c r="W8" s="165">
        <v>24.47</v>
      </c>
      <c r="X8" s="166">
        <f>U8/1</f>
        <v>3.2967032967032965</v>
      </c>
      <c r="Y8" s="166" t="s">
        <v>80</v>
      </c>
      <c r="Z8" s="167">
        <f>(W8/25)*X8</f>
        <v>3.2268131868131866</v>
      </c>
      <c r="AA8" s="168">
        <v>0.91</v>
      </c>
      <c r="AB8" s="169">
        <f>Z8/X2</f>
        <v>0.032268131868131864</v>
      </c>
      <c r="AC8" s="170">
        <f>X2*AB8</f>
        <v>3.226813186813186</v>
      </c>
      <c r="AD8" s="103"/>
      <c r="AE8" s="103"/>
      <c r="AF8" s="103"/>
    </row>
    <row r="9" spans="1:32" ht="31.5" customHeight="1">
      <c r="A9" s="431"/>
      <c r="B9" s="432"/>
      <c r="C9" s="432"/>
      <c r="D9" s="433"/>
      <c r="E9" s="436"/>
      <c r="F9" s="435"/>
      <c r="G9" s="91">
        <v>3</v>
      </c>
      <c r="H9" s="432" t="s">
        <v>324</v>
      </c>
      <c r="I9" s="483"/>
      <c r="J9" s="483"/>
      <c r="K9" s="483"/>
      <c r="L9" s="483"/>
      <c r="M9" s="484"/>
      <c r="N9" s="429">
        <f>A9</f>
        <v>0</v>
      </c>
      <c r="O9" s="430"/>
      <c r="P9" s="430"/>
      <c r="Q9" s="430"/>
      <c r="R9" s="79"/>
      <c r="S9" s="161"/>
      <c r="T9" s="162">
        <f>X2*R9</f>
        <v>0</v>
      </c>
      <c r="U9" s="172">
        <f>(X2*R9)/AA9</f>
        <v>0</v>
      </c>
      <c r="V9" s="164"/>
      <c r="W9" s="165"/>
      <c r="X9" s="166">
        <f>(U9*16)/10.5</f>
        <v>0</v>
      </c>
      <c r="Y9" s="166"/>
      <c r="Z9" s="167">
        <f>W9*X9</f>
        <v>0</v>
      </c>
      <c r="AA9" s="168">
        <v>1</v>
      </c>
      <c r="AB9" s="169">
        <f>Z9/X2</f>
        <v>0</v>
      </c>
      <c r="AC9" s="170">
        <f>X2*AB9</f>
        <v>0</v>
      </c>
      <c r="AD9" s="103"/>
      <c r="AE9" s="103"/>
      <c r="AF9" s="103"/>
    </row>
    <row r="10" spans="1:32" ht="18.75" customHeight="1">
      <c r="A10" s="431"/>
      <c r="B10" s="432"/>
      <c r="C10" s="432"/>
      <c r="D10" s="433"/>
      <c r="E10" s="436"/>
      <c r="F10" s="435"/>
      <c r="G10" s="91"/>
      <c r="H10" s="432"/>
      <c r="I10" s="494"/>
      <c r="J10" s="494"/>
      <c r="K10" s="494"/>
      <c r="L10" s="494"/>
      <c r="M10" s="495"/>
      <c r="N10" s="429"/>
      <c r="O10" s="430"/>
      <c r="P10" s="430"/>
      <c r="Q10" s="430"/>
      <c r="R10" s="174"/>
      <c r="S10" s="161"/>
      <c r="T10" s="162"/>
      <c r="U10" s="172"/>
      <c r="V10" s="164"/>
      <c r="W10" s="165"/>
      <c r="X10" s="166"/>
      <c r="Y10" s="166"/>
      <c r="Z10" s="167"/>
      <c r="AA10" s="168"/>
      <c r="AB10" s="169"/>
      <c r="AC10" s="170"/>
      <c r="AD10" s="103"/>
      <c r="AE10" s="103"/>
      <c r="AF10" s="103"/>
    </row>
    <row r="11" spans="1:32" ht="18.75" customHeight="1">
      <c r="A11" s="431"/>
      <c r="B11" s="432"/>
      <c r="C11" s="432"/>
      <c r="D11" s="433"/>
      <c r="E11" s="436"/>
      <c r="F11" s="435"/>
      <c r="G11" s="91"/>
      <c r="H11" s="432" t="s">
        <v>325</v>
      </c>
      <c r="I11" s="494"/>
      <c r="J11" s="494"/>
      <c r="K11" s="494"/>
      <c r="L11" s="494"/>
      <c r="M11" s="495"/>
      <c r="N11" s="438"/>
      <c r="O11" s="439"/>
      <c r="P11" s="439"/>
      <c r="Q11" s="439"/>
      <c r="R11" s="79"/>
      <c r="S11" s="161"/>
      <c r="T11" s="162"/>
      <c r="U11" s="172"/>
      <c r="V11" s="233"/>
      <c r="W11" s="165"/>
      <c r="X11" s="166"/>
      <c r="Y11" s="166"/>
      <c r="Z11" s="167"/>
      <c r="AA11" s="168"/>
      <c r="AB11" s="169"/>
      <c r="AC11" s="170"/>
      <c r="AD11" s="103"/>
      <c r="AE11" s="103"/>
      <c r="AF11" s="103"/>
    </row>
    <row r="12" spans="1:32" ht="18.75" customHeight="1">
      <c r="A12" s="431"/>
      <c r="B12" s="432"/>
      <c r="C12" s="432"/>
      <c r="D12" s="433"/>
      <c r="E12" s="436"/>
      <c r="F12" s="435"/>
      <c r="G12" s="91"/>
      <c r="H12" s="432"/>
      <c r="I12" s="494"/>
      <c r="J12" s="494"/>
      <c r="K12" s="494"/>
      <c r="L12" s="494"/>
      <c r="M12" s="495"/>
      <c r="N12" s="431"/>
      <c r="O12" s="437"/>
      <c r="P12" s="437"/>
      <c r="Q12" s="437"/>
      <c r="R12" s="232"/>
      <c r="S12" s="161"/>
      <c r="T12" s="162"/>
      <c r="U12" s="172"/>
      <c r="V12" s="234"/>
      <c r="W12" s="165"/>
      <c r="X12" s="166"/>
      <c r="Y12" s="166"/>
      <c r="Z12" s="167"/>
      <c r="AA12" s="168"/>
      <c r="AB12" s="169"/>
      <c r="AC12" s="170"/>
      <c r="AD12" s="103"/>
      <c r="AE12" s="103"/>
      <c r="AF12" s="103"/>
    </row>
    <row r="13" spans="1:32" ht="18.75" customHeight="1">
      <c r="A13" s="431"/>
      <c r="B13" s="432"/>
      <c r="C13" s="432"/>
      <c r="D13" s="433"/>
      <c r="E13" s="434"/>
      <c r="F13" s="435"/>
      <c r="G13" s="91"/>
      <c r="H13" s="432" t="s">
        <v>132</v>
      </c>
      <c r="I13" s="483"/>
      <c r="J13" s="483"/>
      <c r="K13" s="483"/>
      <c r="L13" s="483"/>
      <c r="M13" s="484"/>
      <c r="N13" s="429"/>
      <c r="O13" s="430"/>
      <c r="P13" s="430"/>
      <c r="Q13" s="430"/>
      <c r="R13" s="79"/>
      <c r="S13" s="161"/>
      <c r="T13" s="162"/>
      <c r="U13" s="172"/>
      <c r="V13" s="164"/>
      <c r="W13" s="165"/>
      <c r="X13" s="166"/>
      <c r="Y13" s="166"/>
      <c r="Z13" s="167"/>
      <c r="AA13" s="168"/>
      <c r="AB13" s="169"/>
      <c r="AC13" s="170"/>
      <c r="AD13" s="103"/>
      <c r="AE13" s="103"/>
      <c r="AF13" s="103"/>
    </row>
    <row r="14" spans="1:32" ht="18.75" customHeight="1">
      <c r="A14" s="431"/>
      <c r="B14" s="432"/>
      <c r="C14" s="432"/>
      <c r="D14" s="433"/>
      <c r="E14" s="434"/>
      <c r="F14" s="435"/>
      <c r="G14" s="91"/>
      <c r="H14" s="432"/>
      <c r="I14" s="483"/>
      <c r="J14" s="483"/>
      <c r="K14" s="483"/>
      <c r="L14" s="483"/>
      <c r="M14" s="484"/>
      <c r="N14" s="429"/>
      <c r="O14" s="430"/>
      <c r="P14" s="430"/>
      <c r="Q14" s="430"/>
      <c r="R14" s="79"/>
      <c r="S14" s="161"/>
      <c r="T14" s="162"/>
      <c r="U14" s="172"/>
      <c r="V14" s="164"/>
      <c r="W14" s="165"/>
      <c r="X14" s="166"/>
      <c r="Y14" s="166"/>
      <c r="Z14" s="167"/>
      <c r="AA14" s="168"/>
      <c r="AB14" s="169"/>
      <c r="AC14" s="170"/>
      <c r="AD14" s="103"/>
      <c r="AE14" s="103"/>
      <c r="AF14" s="103"/>
    </row>
    <row r="15" spans="1:32" ht="18.75" customHeight="1">
      <c r="A15" s="431"/>
      <c r="B15" s="432"/>
      <c r="C15" s="432"/>
      <c r="D15" s="433"/>
      <c r="E15" s="434"/>
      <c r="F15" s="435"/>
      <c r="G15" s="91"/>
      <c r="H15" s="432"/>
      <c r="I15" s="483"/>
      <c r="J15" s="483"/>
      <c r="K15" s="483"/>
      <c r="L15" s="483"/>
      <c r="M15" s="484"/>
      <c r="N15" s="429"/>
      <c r="O15" s="430"/>
      <c r="P15" s="430"/>
      <c r="Q15" s="430"/>
      <c r="R15" s="79"/>
      <c r="S15" s="161"/>
      <c r="T15" s="162"/>
      <c r="U15" s="172"/>
      <c r="V15" s="164"/>
      <c r="W15" s="165"/>
      <c r="X15" s="166"/>
      <c r="Y15" s="166"/>
      <c r="Z15" s="167"/>
      <c r="AA15" s="168"/>
      <c r="AB15" s="169"/>
      <c r="AC15" s="170"/>
      <c r="AD15" s="103"/>
      <c r="AE15" s="103"/>
      <c r="AF15" s="103"/>
    </row>
    <row r="16" spans="1:32" ht="18.75" customHeight="1">
      <c r="A16" s="431"/>
      <c r="B16" s="432"/>
      <c r="C16" s="432"/>
      <c r="D16" s="433"/>
      <c r="E16" s="434"/>
      <c r="F16" s="435"/>
      <c r="G16" s="91"/>
      <c r="H16" s="432"/>
      <c r="I16" s="483"/>
      <c r="J16" s="483"/>
      <c r="K16" s="483"/>
      <c r="L16" s="483"/>
      <c r="M16" s="484"/>
      <c r="N16" s="429"/>
      <c r="O16" s="430"/>
      <c r="P16" s="430"/>
      <c r="Q16" s="430"/>
      <c r="R16" s="79"/>
      <c r="S16" s="161"/>
      <c r="T16" s="162"/>
      <c r="U16" s="172"/>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483"/>
      <c r="J17" s="483"/>
      <c r="K17" s="483"/>
      <c r="L17" s="483"/>
      <c r="M17" s="484"/>
      <c r="N17" s="429"/>
      <c r="O17" s="430"/>
      <c r="P17" s="430"/>
      <c r="Q17" s="430"/>
      <c r="R17" s="79"/>
      <c r="S17" s="161"/>
      <c r="T17" s="162"/>
      <c r="U17" s="172"/>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483"/>
      <c r="J18" s="483"/>
      <c r="K18" s="483"/>
      <c r="L18" s="483"/>
      <c r="M18" s="484"/>
      <c r="N18" s="429"/>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483"/>
      <c r="J19" s="483"/>
      <c r="K19" s="483"/>
      <c r="L19" s="483"/>
      <c r="M19" s="484"/>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83"/>
      <c r="J20" s="483"/>
      <c r="K20" s="483"/>
      <c r="L20" s="483"/>
      <c r="M20" s="484"/>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94"/>
      <c r="M23" s="294"/>
      <c r="N23" s="422" t="s">
        <v>47</v>
      </c>
      <c r="O23" s="423"/>
      <c r="P23" s="423"/>
      <c r="Q23" s="424"/>
      <c r="R23" s="425" t="s">
        <v>7</v>
      </c>
      <c r="S23" s="424"/>
      <c r="T23" s="424"/>
      <c r="U23" s="424"/>
      <c r="V23" s="424"/>
      <c r="W23" s="424"/>
      <c r="X23" s="424"/>
      <c r="Y23" s="424"/>
      <c r="Z23" s="424"/>
      <c r="AA23" s="424"/>
      <c r="AB23" s="424"/>
      <c r="AC23" s="115">
        <f>ROUNDUP(SUM(AC6:AC22),5)</f>
        <v>63.049440000000004</v>
      </c>
      <c r="AD23" s="103"/>
      <c r="AE23" s="103"/>
      <c r="AF23" s="103"/>
    </row>
    <row r="24" spans="1:32" ht="20.25" customHeight="1">
      <c r="A24" s="478" t="s">
        <v>45</v>
      </c>
      <c r="B24" s="479"/>
      <c r="C24" s="479"/>
      <c r="D24" s="479"/>
      <c r="E24" s="479"/>
      <c r="F24" s="479"/>
      <c r="G24" s="479"/>
      <c r="H24" s="479"/>
      <c r="I24" s="479"/>
      <c r="J24" s="479"/>
      <c r="K24" s="480"/>
      <c r="L24" s="298"/>
      <c r="M24" s="298"/>
      <c r="N24" s="524"/>
      <c r="O24" s="525"/>
      <c r="P24" s="525"/>
      <c r="Q24" s="525"/>
      <c r="R24" s="134"/>
      <c r="S24" s="134"/>
      <c r="T24" s="134"/>
      <c r="U24" s="134"/>
      <c r="V24" s="134"/>
      <c r="W24" s="135" t="s">
        <v>9</v>
      </c>
      <c r="X24" s="135"/>
      <c r="Y24" s="135"/>
      <c r="Z24" s="135"/>
      <c r="AA24" s="135"/>
      <c r="AB24" s="135"/>
      <c r="AC24" s="117">
        <f>ROUND(AC23*10/100,5)</f>
        <v>6.30494</v>
      </c>
      <c r="AD24" s="103"/>
      <c r="AE24" s="103"/>
      <c r="AF24" s="103"/>
    </row>
    <row r="25" spans="1:32" ht="30" customHeight="1" thickBot="1">
      <c r="A25" s="409" t="s">
        <v>42</v>
      </c>
      <c r="B25" s="481"/>
      <c r="C25" s="481"/>
      <c r="D25" s="481"/>
      <c r="E25" s="481"/>
      <c r="F25" s="297"/>
      <c r="G25" s="411" t="s">
        <v>46</v>
      </c>
      <c r="H25" s="411"/>
      <c r="I25" s="411" t="s">
        <v>63</v>
      </c>
      <c r="J25" s="481"/>
      <c r="K25" s="482"/>
      <c r="L25" s="297"/>
      <c r="M25" s="297"/>
      <c r="N25" s="119"/>
      <c r="O25" s="296"/>
      <c r="P25" s="507"/>
      <c r="Q25" s="507"/>
      <c r="R25" s="138"/>
      <c r="S25" s="138"/>
      <c r="T25" s="138"/>
      <c r="U25" s="138"/>
      <c r="V25" s="138"/>
      <c r="W25" s="139" t="s">
        <v>6</v>
      </c>
      <c r="X25" s="139"/>
      <c r="Y25" s="139"/>
      <c r="Z25" s="139"/>
      <c r="AA25" s="139"/>
      <c r="AB25" s="139"/>
      <c r="AC25" s="120">
        <f>AC23+AC24</f>
        <v>69.35438</v>
      </c>
      <c r="AD25" s="103"/>
      <c r="AE25" s="103"/>
      <c r="AF25" s="103"/>
    </row>
    <row r="26" spans="18:32" ht="7.5" customHeight="1" thickBot="1">
      <c r="R26" s="399"/>
      <c r="S26" s="399"/>
      <c r="T26" s="289"/>
      <c r="U26" s="289"/>
      <c r="V26" s="289"/>
      <c r="W26" s="289"/>
      <c r="X26" s="289"/>
      <c r="Y26" s="289"/>
      <c r="Z26" s="289"/>
      <c r="AA26" s="293"/>
      <c r="AB26" s="293"/>
      <c r="AC26" s="293"/>
      <c r="AD26" s="70"/>
      <c r="AE26" s="70"/>
      <c r="AF26" s="70"/>
    </row>
    <row r="27" spans="1:32" ht="20.25" customHeight="1">
      <c r="A27" s="290" t="s">
        <v>35</v>
      </c>
      <c r="B27" s="393" t="s">
        <v>36</v>
      </c>
      <c r="C27" s="393"/>
      <c r="D27" s="63" t="s">
        <v>37</v>
      </c>
      <c r="E27" s="63" t="s">
        <v>38</v>
      </c>
      <c r="F27" s="63" t="s">
        <v>39</v>
      </c>
      <c r="G27" s="393" t="s">
        <v>40</v>
      </c>
      <c r="H27" s="393"/>
      <c r="I27" s="393" t="s">
        <v>41</v>
      </c>
      <c r="J27" s="393"/>
      <c r="K27" s="393" t="s">
        <v>52</v>
      </c>
      <c r="L27" s="393"/>
      <c r="M27" s="290" t="s">
        <v>135</v>
      </c>
      <c r="N27" s="401" t="s">
        <v>5</v>
      </c>
      <c r="O27" s="401"/>
      <c r="P27" s="401"/>
      <c r="Q27" s="294"/>
      <c r="R27" s="402"/>
      <c r="S27" s="403"/>
      <c r="T27" s="291"/>
      <c r="U27" s="291"/>
      <c r="V27" s="291"/>
      <c r="W27" s="391" t="s">
        <v>68</v>
      </c>
      <c r="X27" s="392"/>
      <c r="Y27" s="392"/>
      <c r="Z27" s="392"/>
      <c r="AA27" s="189"/>
      <c r="AB27" s="189"/>
      <c r="AC27" s="190">
        <f>AC25/X2</f>
        <v>0.6935438</v>
      </c>
      <c r="AD27" s="122"/>
      <c r="AE27" s="122"/>
      <c r="AF27" s="122"/>
    </row>
    <row r="28" spans="1:32" ht="37.5" customHeight="1">
      <c r="A28" s="29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92" t="s">
        <v>23</v>
      </c>
      <c r="AB28" s="385" t="s">
        <v>24</v>
      </c>
      <c r="AC28" s="386"/>
      <c r="AD28" s="122"/>
      <c r="AE28" s="122"/>
      <c r="AF28" s="122"/>
    </row>
    <row r="29" spans="14:29" ht="19.5" customHeight="1" thickBot="1">
      <c r="N29" s="123">
        <v>1</v>
      </c>
      <c r="O29" s="124"/>
      <c r="P29" s="125">
        <f>AC25</f>
        <v>69.35438</v>
      </c>
      <c r="Q29" s="126">
        <v>0</v>
      </c>
      <c r="R29" s="387">
        <f>P29+Q29</f>
        <v>69.35438</v>
      </c>
      <c r="S29" s="388"/>
      <c r="T29" s="127"/>
      <c r="U29" s="128"/>
      <c r="V29" s="128"/>
      <c r="W29" s="119"/>
      <c r="X29" s="129">
        <f>AC27/AA29</f>
        <v>2.311812666666667</v>
      </c>
      <c r="Y29" s="129"/>
      <c r="Z29" s="129"/>
      <c r="AA29" s="130">
        <v>0.3</v>
      </c>
      <c r="AB29" s="389">
        <f ca="1">NOW()</f>
        <v>41359.56477372685</v>
      </c>
      <c r="AC29" s="390"/>
    </row>
  </sheetData>
  <sheetProtection/>
  <mergeCells count="107">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MENU LIST"/>
  </hyperlinks>
  <printOptions/>
  <pageMargins left="0.7" right="0.7" top="0.75" bottom="0.75" header="0.3" footer="0.3"/>
  <pageSetup horizontalDpi="600" verticalDpi="600" orientation="landscape" scale="77" r:id="rId1"/>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AH34"/>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38.85156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146</v>
      </c>
      <c r="D2" s="469"/>
      <c r="E2" s="469"/>
      <c r="F2" s="469"/>
      <c r="G2" s="469"/>
      <c r="H2" s="214" t="s">
        <v>55</v>
      </c>
      <c r="I2" s="151">
        <v>100</v>
      </c>
      <c r="J2" s="214" t="s">
        <v>48</v>
      </c>
      <c r="K2" s="152" t="s">
        <v>63</v>
      </c>
      <c r="L2" s="152"/>
      <c r="M2" s="324"/>
      <c r="N2" s="508" t="s">
        <v>17</v>
      </c>
      <c r="O2" s="508"/>
      <c r="P2" s="471" t="str">
        <f>C2</f>
        <v>Country Ham &amp; Biscuit Slider</v>
      </c>
      <c r="Q2" s="471"/>
      <c r="R2" s="471"/>
      <c r="S2" s="471"/>
      <c r="T2" s="472"/>
      <c r="U2" s="77"/>
      <c r="V2" s="77"/>
      <c r="W2" s="214" t="s">
        <v>55</v>
      </c>
      <c r="X2" s="78">
        <f>I2</f>
        <v>100</v>
      </c>
      <c r="Y2" s="79"/>
      <c r="Z2" s="80" t="s">
        <v>53</v>
      </c>
      <c r="AA2" s="518" t="str">
        <f>K2</f>
        <v>1 each</v>
      </c>
      <c r="AB2" s="398"/>
      <c r="AC2" s="398"/>
      <c r="AD2" s="84"/>
      <c r="AE2" s="84"/>
      <c r="AF2" s="84"/>
      <c r="AG2" s="83"/>
      <c r="AH2" s="83"/>
    </row>
    <row r="3" spans="1:34" ht="11.25" customHeight="1">
      <c r="A3" s="212"/>
      <c r="B3" s="230"/>
      <c r="C3" s="519"/>
      <c r="D3" s="520"/>
      <c r="E3" s="520"/>
      <c r="F3" s="520"/>
      <c r="G3" s="520"/>
      <c r="H3" s="231"/>
      <c r="I3" s="219"/>
      <c r="J3" s="214"/>
      <c r="K3" s="81"/>
      <c r="L3" s="85"/>
      <c r="M3" s="86"/>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426</v>
      </c>
      <c r="B6" s="444"/>
      <c r="C6" s="444"/>
      <c r="D6" s="445"/>
      <c r="E6" s="446" t="s">
        <v>318</v>
      </c>
      <c r="F6" s="447"/>
      <c r="G6" s="238">
        <v>1</v>
      </c>
      <c r="H6" s="444" t="s">
        <v>432</v>
      </c>
      <c r="I6" s="500"/>
      <c r="J6" s="500"/>
      <c r="K6" s="500"/>
      <c r="L6" s="500"/>
      <c r="M6" s="501"/>
      <c r="N6" s="430" t="str">
        <f>A6</f>
        <v>Buttermilk Biscuit -- see recipe</v>
      </c>
      <c r="O6" s="430"/>
      <c r="P6" s="430"/>
      <c r="Q6" s="430"/>
      <c r="R6" s="232">
        <v>1</v>
      </c>
      <c r="S6" s="161" t="s">
        <v>249</v>
      </c>
      <c r="T6" s="162">
        <f>R6*X2</f>
        <v>100</v>
      </c>
      <c r="U6" s="172">
        <f>(X2*R6)/AA6</f>
        <v>100</v>
      </c>
      <c r="V6" s="164" t="s">
        <v>63</v>
      </c>
      <c r="W6" s="165">
        <v>0.0657</v>
      </c>
      <c r="X6" s="166">
        <f>U6/1</f>
        <v>100</v>
      </c>
      <c r="Y6" s="166"/>
      <c r="Z6" s="167">
        <f>W6*X6</f>
        <v>6.569999999999999</v>
      </c>
      <c r="AA6" s="168">
        <v>1</v>
      </c>
      <c r="AB6" s="169">
        <f>Z6/X2</f>
        <v>0.0657</v>
      </c>
      <c r="AC6" s="170">
        <f>X2*AB6</f>
        <v>6.569999999999999</v>
      </c>
      <c r="AD6" s="103"/>
      <c r="AE6" s="103"/>
      <c r="AF6" s="103"/>
    </row>
    <row r="7" spans="1:32" ht="18.75" customHeight="1">
      <c r="A7" s="431" t="s">
        <v>427</v>
      </c>
      <c r="B7" s="432"/>
      <c r="C7" s="432"/>
      <c r="D7" s="433"/>
      <c r="E7" s="436" t="s">
        <v>428</v>
      </c>
      <c r="F7" s="435"/>
      <c r="G7" s="91">
        <v>2</v>
      </c>
      <c r="H7" s="432" t="s">
        <v>433</v>
      </c>
      <c r="I7" s="535"/>
      <c r="J7" s="535"/>
      <c r="K7" s="535"/>
      <c r="L7" s="535"/>
      <c r="M7" s="484"/>
      <c r="N7" s="430" t="str">
        <f>A7</f>
        <v>Country Ham Steak, sliced</v>
      </c>
      <c r="O7" s="430"/>
      <c r="P7" s="430"/>
      <c r="Q7" s="430"/>
      <c r="R7" s="325">
        <v>0.125</v>
      </c>
      <c r="S7" s="161" t="s">
        <v>80</v>
      </c>
      <c r="T7" s="166">
        <f>X2*R7</f>
        <v>12.5</v>
      </c>
      <c r="U7" s="172">
        <f>(X2*R7)/AA7</f>
        <v>12.5</v>
      </c>
      <c r="V7" s="164" t="s">
        <v>228</v>
      </c>
      <c r="W7" s="165">
        <v>4.2</v>
      </c>
      <c r="X7" s="166">
        <f>U7/1</f>
        <v>12.5</v>
      </c>
      <c r="Y7" s="166" t="s">
        <v>80</v>
      </c>
      <c r="Z7" s="167">
        <f>W7*X7</f>
        <v>52.5</v>
      </c>
      <c r="AA7" s="168">
        <v>1</v>
      </c>
      <c r="AB7" s="169">
        <f>Z7/X2</f>
        <v>0.525</v>
      </c>
      <c r="AC7" s="170">
        <f>X2*AB7</f>
        <v>52.5</v>
      </c>
      <c r="AD7" s="103"/>
      <c r="AE7" s="103"/>
      <c r="AF7" s="103"/>
    </row>
    <row r="8" spans="1:32" ht="18.75" customHeight="1">
      <c r="A8" s="431" t="s">
        <v>429</v>
      </c>
      <c r="B8" s="432"/>
      <c r="C8" s="432"/>
      <c r="D8" s="433"/>
      <c r="E8" s="434" t="s">
        <v>430</v>
      </c>
      <c r="F8" s="435"/>
      <c r="G8" s="91">
        <v>3</v>
      </c>
      <c r="H8" s="432" t="s">
        <v>434</v>
      </c>
      <c r="I8" s="535"/>
      <c r="J8" s="535"/>
      <c r="K8" s="535"/>
      <c r="L8" s="535"/>
      <c r="M8" s="484"/>
      <c r="N8" s="430" t="str">
        <f>A8</f>
        <v>Spicy Honey Mustard</v>
      </c>
      <c r="O8" s="430"/>
      <c r="P8" s="430"/>
      <c r="Q8" s="430"/>
      <c r="R8" s="79">
        <v>0.04</v>
      </c>
      <c r="S8" s="161" t="s">
        <v>67</v>
      </c>
      <c r="T8" s="162">
        <f>X2*R8</f>
        <v>4</v>
      </c>
      <c r="U8" s="172">
        <f>(X2*R8)/AA8</f>
        <v>4</v>
      </c>
      <c r="V8" s="164" t="s">
        <v>166</v>
      </c>
      <c r="W8" s="165">
        <v>9.74</v>
      </c>
      <c r="X8" s="166">
        <f>U8/16</f>
        <v>0.25</v>
      </c>
      <c r="Y8" s="166" t="s">
        <v>88</v>
      </c>
      <c r="Z8" s="167">
        <f>W8*X8</f>
        <v>2.435</v>
      </c>
      <c r="AA8" s="168">
        <v>1</v>
      </c>
      <c r="AB8" s="169">
        <f>Z8/X2</f>
        <v>0.02435</v>
      </c>
      <c r="AC8" s="170">
        <f>X2*AB8</f>
        <v>2.435</v>
      </c>
      <c r="AD8" s="103"/>
      <c r="AE8" s="103"/>
      <c r="AF8" s="103"/>
    </row>
    <row r="9" spans="1:32" ht="18.75" customHeight="1">
      <c r="A9" s="431"/>
      <c r="B9" s="432"/>
      <c r="C9" s="432"/>
      <c r="D9" s="433"/>
      <c r="E9" s="436"/>
      <c r="F9" s="435"/>
      <c r="G9" s="91">
        <v>4</v>
      </c>
      <c r="H9" s="432" t="s">
        <v>435</v>
      </c>
      <c r="I9" s="535"/>
      <c r="J9" s="535"/>
      <c r="K9" s="535"/>
      <c r="L9" s="535"/>
      <c r="M9" s="484"/>
      <c r="N9" s="430">
        <f>A9</f>
        <v>0</v>
      </c>
      <c r="O9" s="430"/>
      <c r="P9" s="430"/>
      <c r="Q9" s="430"/>
      <c r="R9" s="79"/>
      <c r="S9" s="161"/>
      <c r="T9" s="162">
        <f>X2*R9</f>
        <v>0</v>
      </c>
      <c r="U9" s="172">
        <f>(X2*R9)/AA9</f>
        <v>0</v>
      </c>
      <c r="V9" s="164"/>
      <c r="W9" s="165"/>
      <c r="X9" s="166">
        <f>(U9*16)/10.5</f>
        <v>0</v>
      </c>
      <c r="Y9" s="166"/>
      <c r="Z9" s="167">
        <f>W9*X9</f>
        <v>0</v>
      </c>
      <c r="AA9" s="168">
        <v>1</v>
      </c>
      <c r="AB9" s="169">
        <f>Z9/X2</f>
        <v>0</v>
      </c>
      <c r="AC9" s="170">
        <f>X2*AB9</f>
        <v>0</v>
      </c>
      <c r="AD9" s="103"/>
      <c r="AE9" s="103"/>
      <c r="AF9" s="103"/>
    </row>
    <row r="10" spans="1:32" ht="18.75" customHeight="1">
      <c r="A10" s="431"/>
      <c r="B10" s="432"/>
      <c r="C10" s="432"/>
      <c r="D10" s="433"/>
      <c r="E10" s="436"/>
      <c r="F10" s="435"/>
      <c r="G10" s="91"/>
      <c r="H10" s="432"/>
      <c r="I10" s="536"/>
      <c r="J10" s="536"/>
      <c r="K10" s="536"/>
      <c r="L10" s="536"/>
      <c r="M10" s="495"/>
      <c r="N10" s="430">
        <f>A10</f>
        <v>0</v>
      </c>
      <c r="O10" s="430"/>
      <c r="P10" s="430"/>
      <c r="Q10" s="430"/>
      <c r="R10" s="174"/>
      <c r="S10" s="161"/>
      <c r="T10" s="162">
        <f>X2*R10</f>
        <v>0</v>
      </c>
      <c r="U10" s="172">
        <f>(X2*R10)/AA10</f>
        <v>0</v>
      </c>
      <c r="V10" s="164"/>
      <c r="W10" s="165"/>
      <c r="X10" s="166">
        <f>U10/1</f>
        <v>0</v>
      </c>
      <c r="Y10" s="166"/>
      <c r="Z10" s="167">
        <f>W10*X10</f>
        <v>0</v>
      </c>
      <c r="AA10" s="168">
        <v>1</v>
      </c>
      <c r="AB10" s="169">
        <f>Z10/X2</f>
        <v>0</v>
      </c>
      <c r="AC10" s="170">
        <f>X2*AB10</f>
        <v>0</v>
      </c>
      <c r="AD10" s="103"/>
      <c r="AE10" s="103"/>
      <c r="AF10" s="103"/>
    </row>
    <row r="11" spans="1:32" ht="18.75" customHeight="1">
      <c r="A11" s="431"/>
      <c r="B11" s="432"/>
      <c r="C11" s="432"/>
      <c r="D11" s="433"/>
      <c r="E11" s="436"/>
      <c r="F11" s="435"/>
      <c r="G11" s="91"/>
      <c r="H11" s="432"/>
      <c r="I11" s="536"/>
      <c r="J11" s="536"/>
      <c r="K11" s="536"/>
      <c r="L11" s="536"/>
      <c r="M11" s="495"/>
      <c r="N11" s="537"/>
      <c r="O11" s="439"/>
      <c r="P11" s="439"/>
      <c r="Q11" s="439"/>
      <c r="R11" s="79"/>
      <c r="S11" s="161"/>
      <c r="T11" s="162"/>
      <c r="U11" s="172"/>
      <c r="V11" s="233"/>
      <c r="W11" s="165"/>
      <c r="X11" s="166"/>
      <c r="Y11" s="166"/>
      <c r="Z11" s="167"/>
      <c r="AA11" s="168"/>
      <c r="AB11" s="169"/>
      <c r="AC11" s="170"/>
      <c r="AD11" s="103"/>
      <c r="AE11" s="103"/>
      <c r="AF11" s="103"/>
    </row>
    <row r="12" spans="1:32" ht="18.75" customHeight="1">
      <c r="A12" s="431"/>
      <c r="B12" s="432"/>
      <c r="C12" s="432"/>
      <c r="D12" s="433"/>
      <c r="E12" s="436"/>
      <c r="F12" s="435"/>
      <c r="G12" s="91"/>
      <c r="H12" s="432"/>
      <c r="I12" s="536"/>
      <c r="J12" s="536"/>
      <c r="K12" s="536"/>
      <c r="L12" s="536"/>
      <c r="M12" s="495"/>
      <c r="N12" s="432"/>
      <c r="O12" s="437"/>
      <c r="P12" s="437"/>
      <c r="Q12" s="437"/>
      <c r="R12" s="232"/>
      <c r="S12" s="161"/>
      <c r="T12" s="162"/>
      <c r="U12" s="172"/>
      <c r="V12" s="234"/>
      <c r="W12" s="165"/>
      <c r="X12" s="166"/>
      <c r="Y12" s="166"/>
      <c r="Z12" s="167"/>
      <c r="AA12" s="168"/>
      <c r="AB12" s="169"/>
      <c r="AC12" s="170"/>
      <c r="AD12" s="103"/>
      <c r="AE12" s="103"/>
      <c r="AF12" s="103"/>
    </row>
    <row r="13" spans="1:32" ht="18.75" customHeight="1">
      <c r="A13" s="431"/>
      <c r="B13" s="432"/>
      <c r="C13" s="432"/>
      <c r="D13" s="433"/>
      <c r="E13" s="434"/>
      <c r="F13" s="435"/>
      <c r="G13" s="91"/>
      <c r="H13" s="432"/>
      <c r="I13" s="535"/>
      <c r="J13" s="535"/>
      <c r="K13" s="535"/>
      <c r="L13" s="535"/>
      <c r="M13" s="484"/>
      <c r="N13" s="430"/>
      <c r="O13" s="430"/>
      <c r="P13" s="430"/>
      <c r="Q13" s="430"/>
      <c r="R13" s="79"/>
      <c r="S13" s="161"/>
      <c r="T13" s="162"/>
      <c r="U13" s="172"/>
      <c r="V13" s="164"/>
      <c r="W13" s="165"/>
      <c r="X13" s="166"/>
      <c r="Y13" s="166"/>
      <c r="Z13" s="167"/>
      <c r="AA13" s="168"/>
      <c r="AB13" s="169"/>
      <c r="AC13" s="170"/>
      <c r="AD13" s="103"/>
      <c r="AE13" s="103"/>
      <c r="AF13" s="103"/>
    </row>
    <row r="14" spans="1:32" ht="18.75" customHeight="1">
      <c r="A14" s="431"/>
      <c r="B14" s="432"/>
      <c r="C14" s="432"/>
      <c r="D14" s="433"/>
      <c r="E14" s="434"/>
      <c r="F14" s="435"/>
      <c r="G14" s="91"/>
      <c r="H14" s="432"/>
      <c r="I14" s="535"/>
      <c r="J14" s="535"/>
      <c r="K14" s="535"/>
      <c r="L14" s="535"/>
      <c r="M14" s="484"/>
      <c r="N14" s="430"/>
      <c r="O14" s="430"/>
      <c r="P14" s="430"/>
      <c r="Q14" s="430"/>
      <c r="R14" s="79"/>
      <c r="S14" s="161"/>
      <c r="T14" s="162"/>
      <c r="U14" s="172"/>
      <c r="V14" s="164"/>
      <c r="W14" s="165"/>
      <c r="X14" s="166"/>
      <c r="Y14" s="166"/>
      <c r="Z14" s="167"/>
      <c r="AA14" s="168"/>
      <c r="AB14" s="169"/>
      <c r="AC14" s="170"/>
      <c r="AD14" s="103"/>
      <c r="AE14" s="103"/>
      <c r="AF14" s="103"/>
    </row>
    <row r="15" spans="1:32" ht="18.75" customHeight="1">
      <c r="A15" s="431"/>
      <c r="B15" s="432"/>
      <c r="C15" s="432"/>
      <c r="D15" s="433"/>
      <c r="E15" s="434"/>
      <c r="F15" s="435"/>
      <c r="G15" s="91"/>
      <c r="H15" s="432"/>
      <c r="I15" s="535"/>
      <c r="J15" s="535"/>
      <c r="K15" s="535"/>
      <c r="L15" s="535"/>
      <c r="M15" s="484"/>
      <c r="N15" s="430"/>
      <c r="O15" s="430"/>
      <c r="P15" s="430"/>
      <c r="Q15" s="430"/>
      <c r="R15" s="79"/>
      <c r="S15" s="161"/>
      <c r="T15" s="162"/>
      <c r="U15" s="172"/>
      <c r="V15" s="164"/>
      <c r="W15" s="165"/>
      <c r="X15" s="166"/>
      <c r="Y15" s="166"/>
      <c r="Z15" s="167"/>
      <c r="AA15" s="168"/>
      <c r="AB15" s="169"/>
      <c r="AC15" s="170"/>
      <c r="AD15" s="103"/>
      <c r="AE15" s="103"/>
      <c r="AF15" s="103"/>
    </row>
    <row r="16" spans="1:32" ht="18.75" customHeight="1">
      <c r="A16" s="431"/>
      <c r="B16" s="432"/>
      <c r="C16" s="432"/>
      <c r="D16" s="433"/>
      <c r="E16" s="434"/>
      <c r="F16" s="435"/>
      <c r="G16" s="91"/>
      <c r="H16" s="432"/>
      <c r="I16" s="535"/>
      <c r="J16" s="535"/>
      <c r="K16" s="535"/>
      <c r="L16" s="535"/>
      <c r="M16" s="484"/>
      <c r="N16" s="430"/>
      <c r="O16" s="430"/>
      <c r="P16" s="430"/>
      <c r="Q16" s="430"/>
      <c r="R16" s="79"/>
      <c r="S16" s="161"/>
      <c r="T16" s="162"/>
      <c r="U16" s="177"/>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535"/>
      <c r="J17" s="535"/>
      <c r="K17" s="535"/>
      <c r="L17" s="535"/>
      <c r="M17" s="484"/>
      <c r="N17" s="430"/>
      <c r="O17" s="430"/>
      <c r="P17" s="430"/>
      <c r="Q17" s="430"/>
      <c r="R17" s="79"/>
      <c r="S17" s="161"/>
      <c r="T17" s="162"/>
      <c r="U17" s="177"/>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535"/>
      <c r="J18" s="535"/>
      <c r="K18" s="535"/>
      <c r="L18" s="535"/>
      <c r="M18" s="484"/>
      <c r="N18" s="430"/>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535"/>
      <c r="J19" s="535"/>
      <c r="K19" s="535"/>
      <c r="L19" s="535"/>
      <c r="M19" s="484"/>
      <c r="N19" s="430"/>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535"/>
      <c r="J20" s="535"/>
      <c r="K20" s="535"/>
      <c r="L20" s="535"/>
      <c r="M20" s="484"/>
      <c r="N20" s="430"/>
      <c r="O20" s="430"/>
      <c r="P20" s="430"/>
      <c r="Q20" s="430"/>
      <c r="R20" s="79"/>
      <c r="S20" s="161"/>
      <c r="T20" s="162"/>
      <c r="U20" s="177"/>
      <c r="V20" s="164"/>
      <c r="W20" s="165"/>
      <c r="X20" s="166"/>
      <c r="Y20" s="166"/>
      <c r="Z20" s="167"/>
      <c r="AA20" s="168"/>
      <c r="AB20" s="169"/>
      <c r="AC20" s="170"/>
      <c r="AD20" s="103"/>
      <c r="AE20" s="103"/>
      <c r="AF20" s="103"/>
    </row>
    <row r="21" spans="1:32" ht="18.75" customHeight="1">
      <c r="A21" s="431"/>
      <c r="B21" s="432"/>
      <c r="C21" s="432"/>
      <c r="D21" s="433"/>
      <c r="E21" s="434"/>
      <c r="F21" s="435"/>
      <c r="G21" s="91"/>
      <c r="H21" s="432"/>
      <c r="I21" s="535"/>
      <c r="J21" s="535"/>
      <c r="K21" s="535"/>
      <c r="L21" s="535"/>
      <c r="M21" s="484"/>
      <c r="N21" s="430"/>
      <c r="O21" s="430"/>
      <c r="P21" s="430"/>
      <c r="Q21" s="430"/>
      <c r="R21" s="79"/>
      <c r="S21" s="161"/>
      <c r="T21" s="162"/>
      <c r="U21" s="177"/>
      <c r="V21" s="164"/>
      <c r="W21" s="165"/>
      <c r="X21" s="166"/>
      <c r="Y21" s="166"/>
      <c r="Z21" s="167"/>
      <c r="AA21" s="168"/>
      <c r="AB21" s="169"/>
      <c r="AC21" s="170"/>
      <c r="AD21" s="103"/>
      <c r="AE21" s="103"/>
      <c r="AF21" s="103"/>
    </row>
    <row r="22" spans="1:32" ht="18.75" customHeight="1">
      <c r="A22" s="431"/>
      <c r="B22" s="432"/>
      <c r="C22" s="432"/>
      <c r="D22" s="433"/>
      <c r="E22" s="434"/>
      <c r="F22" s="435"/>
      <c r="G22" s="91"/>
      <c r="H22" s="432"/>
      <c r="I22" s="535"/>
      <c r="J22" s="535"/>
      <c r="K22" s="535"/>
      <c r="L22" s="535"/>
      <c r="M22" s="484"/>
      <c r="N22" s="430"/>
      <c r="O22" s="430"/>
      <c r="P22" s="430"/>
      <c r="Q22" s="430"/>
      <c r="R22" s="79"/>
      <c r="S22" s="161"/>
      <c r="T22" s="162"/>
      <c r="U22" s="177"/>
      <c r="V22" s="164"/>
      <c r="W22" s="165"/>
      <c r="X22" s="166"/>
      <c r="Y22" s="166"/>
      <c r="Z22" s="167"/>
      <c r="AA22" s="168"/>
      <c r="AB22" s="169"/>
      <c r="AC22" s="170"/>
      <c r="AD22" s="103"/>
      <c r="AE22" s="103"/>
      <c r="AF22" s="103"/>
    </row>
    <row r="23" spans="1:32" ht="18.75" customHeight="1">
      <c r="A23" s="431"/>
      <c r="B23" s="432"/>
      <c r="C23" s="432"/>
      <c r="D23" s="433"/>
      <c r="E23" s="434"/>
      <c r="F23" s="435"/>
      <c r="G23" s="91"/>
      <c r="H23" s="432"/>
      <c r="I23" s="535"/>
      <c r="J23" s="535"/>
      <c r="K23" s="535"/>
      <c r="L23" s="535"/>
      <c r="M23" s="484"/>
      <c r="N23" s="430"/>
      <c r="O23" s="430"/>
      <c r="P23" s="430"/>
      <c r="Q23" s="430"/>
      <c r="R23" s="79"/>
      <c r="S23" s="161"/>
      <c r="T23" s="162"/>
      <c r="U23" s="177"/>
      <c r="V23" s="164"/>
      <c r="W23" s="165"/>
      <c r="X23" s="166"/>
      <c r="Y23" s="166"/>
      <c r="Z23" s="167"/>
      <c r="AA23" s="168"/>
      <c r="AB23" s="169"/>
      <c r="AC23" s="170"/>
      <c r="AD23" s="103"/>
      <c r="AE23" s="103"/>
      <c r="AF23" s="103"/>
    </row>
    <row r="24" spans="1:32" ht="18.75" customHeight="1">
      <c r="A24" s="431"/>
      <c r="B24" s="432"/>
      <c r="C24" s="432"/>
      <c r="D24" s="433"/>
      <c r="E24" s="434"/>
      <c r="F24" s="435"/>
      <c r="G24" s="91"/>
      <c r="H24" s="432"/>
      <c r="I24" s="535"/>
      <c r="J24" s="535"/>
      <c r="K24" s="535"/>
      <c r="L24" s="535"/>
      <c r="M24" s="484"/>
      <c r="N24" s="430"/>
      <c r="O24" s="430"/>
      <c r="P24" s="430"/>
      <c r="Q24" s="430"/>
      <c r="R24" s="79"/>
      <c r="S24" s="161"/>
      <c r="T24" s="162"/>
      <c r="U24" s="177"/>
      <c r="V24" s="164"/>
      <c r="W24" s="165"/>
      <c r="X24" s="166"/>
      <c r="Y24" s="166"/>
      <c r="Z24" s="167"/>
      <c r="AA24" s="168"/>
      <c r="AB24" s="169"/>
      <c r="AC24" s="170"/>
      <c r="AD24" s="103"/>
      <c r="AE24" s="103"/>
      <c r="AF24" s="103"/>
    </row>
    <row r="25" spans="1:32" ht="18.75" customHeight="1">
      <c r="A25" s="431"/>
      <c r="B25" s="432"/>
      <c r="C25" s="432"/>
      <c r="D25" s="433"/>
      <c r="E25" s="434"/>
      <c r="F25" s="435"/>
      <c r="G25" s="91"/>
      <c r="H25" s="432"/>
      <c r="I25" s="535"/>
      <c r="J25" s="535"/>
      <c r="K25" s="535"/>
      <c r="L25" s="535"/>
      <c r="M25" s="484"/>
      <c r="N25" s="430"/>
      <c r="O25" s="430"/>
      <c r="P25" s="430"/>
      <c r="Q25" s="430"/>
      <c r="R25" s="79"/>
      <c r="S25" s="161"/>
      <c r="T25" s="162"/>
      <c r="U25" s="177"/>
      <c r="V25" s="164"/>
      <c r="W25" s="165"/>
      <c r="X25" s="166"/>
      <c r="Y25" s="166"/>
      <c r="Z25" s="167"/>
      <c r="AA25" s="168"/>
      <c r="AB25" s="169"/>
      <c r="AC25" s="170"/>
      <c r="AD25" s="103"/>
      <c r="AE25" s="103"/>
      <c r="AF25" s="103"/>
    </row>
    <row r="26" spans="1:32" ht="18.75" customHeight="1">
      <c r="A26" s="431"/>
      <c r="B26" s="432"/>
      <c r="C26" s="432"/>
      <c r="D26" s="433"/>
      <c r="E26" s="434"/>
      <c r="F26" s="435"/>
      <c r="G26" s="91"/>
      <c r="H26" s="432"/>
      <c r="I26" s="535"/>
      <c r="J26" s="535"/>
      <c r="K26" s="535"/>
      <c r="L26" s="535"/>
      <c r="M26" s="484"/>
      <c r="N26" s="430"/>
      <c r="O26" s="430"/>
      <c r="P26" s="430"/>
      <c r="Q26" s="430"/>
      <c r="R26" s="79"/>
      <c r="S26" s="161"/>
      <c r="T26" s="162"/>
      <c r="U26" s="177"/>
      <c r="V26" s="164"/>
      <c r="W26" s="165"/>
      <c r="X26" s="166"/>
      <c r="Y26" s="166"/>
      <c r="Z26" s="167"/>
      <c r="AA26" s="168"/>
      <c r="AB26" s="169"/>
      <c r="AC26" s="170"/>
      <c r="AD26" s="103"/>
      <c r="AE26" s="103"/>
      <c r="AF26" s="103"/>
    </row>
    <row r="27" spans="1:32" ht="18.75" customHeight="1" thickBot="1">
      <c r="A27" s="431"/>
      <c r="B27" s="432"/>
      <c r="C27" s="432"/>
      <c r="D27" s="433"/>
      <c r="E27" s="434"/>
      <c r="F27" s="492"/>
      <c r="G27" s="91"/>
      <c r="H27" s="432"/>
      <c r="I27" s="535"/>
      <c r="J27" s="535"/>
      <c r="K27" s="535"/>
      <c r="L27" s="535"/>
      <c r="M27" s="484"/>
      <c r="N27" s="486"/>
      <c r="O27" s="486"/>
      <c r="P27" s="486"/>
      <c r="Q27" s="486"/>
      <c r="R27" s="104"/>
      <c r="S27" s="93"/>
      <c r="T27" s="162"/>
      <c r="U27" s="177"/>
      <c r="V27" s="164"/>
      <c r="W27" s="165"/>
      <c r="X27" s="166"/>
      <c r="Y27" s="166"/>
      <c r="Z27" s="167"/>
      <c r="AA27" s="168"/>
      <c r="AB27" s="169"/>
      <c r="AC27" s="170"/>
      <c r="AD27" s="103"/>
      <c r="AE27" s="103"/>
      <c r="AF27" s="103"/>
    </row>
    <row r="28" spans="1:32" ht="18.75" customHeight="1" thickBot="1">
      <c r="A28" s="431"/>
      <c r="B28" s="432"/>
      <c r="C28" s="432"/>
      <c r="D28" s="433"/>
      <c r="E28" s="538"/>
      <c r="F28" s="539"/>
      <c r="G28" s="119"/>
      <c r="H28" s="488"/>
      <c r="I28" s="490"/>
      <c r="J28" s="490"/>
      <c r="K28" s="490"/>
      <c r="L28" s="490"/>
      <c r="M28" s="491"/>
      <c r="N28" s="423" t="s">
        <v>47</v>
      </c>
      <c r="O28" s="423"/>
      <c r="P28" s="423"/>
      <c r="Q28" s="424"/>
      <c r="R28" s="425" t="s">
        <v>7</v>
      </c>
      <c r="S28" s="424"/>
      <c r="T28" s="424"/>
      <c r="U28" s="424"/>
      <c r="V28" s="424"/>
      <c r="W28" s="424"/>
      <c r="X28" s="424"/>
      <c r="Y28" s="424"/>
      <c r="Z28" s="424"/>
      <c r="AA28" s="424"/>
      <c r="AB28" s="424"/>
      <c r="AC28" s="115">
        <f>ROUNDUP(SUM(AC6:AC27),5)</f>
        <v>61.505</v>
      </c>
      <c r="AD28" s="103"/>
      <c r="AE28" s="103"/>
      <c r="AF28" s="103"/>
    </row>
    <row r="29" spans="1:32" ht="20.25" customHeight="1">
      <c r="A29" s="478" t="s">
        <v>45</v>
      </c>
      <c r="B29" s="479"/>
      <c r="C29" s="479"/>
      <c r="D29" s="479"/>
      <c r="E29" s="479"/>
      <c r="F29" s="479"/>
      <c r="G29" s="540"/>
      <c r="H29" s="540"/>
      <c r="I29" s="540"/>
      <c r="J29" s="540"/>
      <c r="K29" s="541"/>
      <c r="L29" s="116"/>
      <c r="M29" s="116"/>
      <c r="N29" s="524"/>
      <c r="O29" s="525"/>
      <c r="P29" s="525"/>
      <c r="Q29" s="525"/>
      <c r="R29" s="134"/>
      <c r="S29" s="134"/>
      <c r="T29" s="134"/>
      <c r="U29" s="134"/>
      <c r="V29" s="134"/>
      <c r="W29" s="135" t="s">
        <v>9</v>
      </c>
      <c r="X29" s="135"/>
      <c r="Y29" s="135"/>
      <c r="Z29" s="135"/>
      <c r="AA29" s="135"/>
      <c r="AB29" s="135"/>
      <c r="AC29" s="117">
        <f>ROUND(AC28*10/100,5)</f>
        <v>6.1505</v>
      </c>
      <c r="AD29" s="103"/>
      <c r="AE29" s="103"/>
      <c r="AF29" s="103"/>
    </row>
    <row r="30" spans="1:32" ht="30" customHeight="1" thickBot="1">
      <c r="A30" s="409" t="s">
        <v>42</v>
      </c>
      <c r="B30" s="481"/>
      <c r="C30" s="481"/>
      <c r="D30" s="481"/>
      <c r="E30" s="481"/>
      <c r="F30" s="218"/>
      <c r="G30" s="411" t="s">
        <v>46</v>
      </c>
      <c r="H30" s="411"/>
      <c r="I30" s="411" t="s">
        <v>63</v>
      </c>
      <c r="J30" s="481"/>
      <c r="K30" s="482"/>
      <c r="L30" s="218"/>
      <c r="M30" s="218"/>
      <c r="N30" s="119"/>
      <c r="O30" s="217"/>
      <c r="P30" s="507"/>
      <c r="Q30" s="507"/>
      <c r="R30" s="138"/>
      <c r="S30" s="138"/>
      <c r="T30" s="138"/>
      <c r="U30" s="138"/>
      <c r="V30" s="138"/>
      <c r="W30" s="139" t="s">
        <v>6</v>
      </c>
      <c r="X30" s="139"/>
      <c r="Y30" s="139"/>
      <c r="Z30" s="139"/>
      <c r="AA30" s="139"/>
      <c r="AB30" s="139"/>
      <c r="AC30" s="120">
        <f>AC28+AC29</f>
        <v>67.6555</v>
      </c>
      <c r="AD30" s="103"/>
      <c r="AE30" s="103"/>
      <c r="AF30" s="103"/>
    </row>
    <row r="31" spans="18:32" ht="7.5" customHeight="1" thickBot="1">
      <c r="R31" s="399"/>
      <c r="S31" s="399"/>
      <c r="T31" s="219"/>
      <c r="U31" s="219"/>
      <c r="V31" s="219"/>
      <c r="W31" s="219"/>
      <c r="X31" s="219"/>
      <c r="Y31" s="219"/>
      <c r="Z31" s="219"/>
      <c r="AA31" s="214"/>
      <c r="AB31" s="214"/>
      <c r="AC31" s="214"/>
      <c r="AD31" s="70"/>
      <c r="AE31" s="70"/>
      <c r="AF31" s="70"/>
    </row>
    <row r="32" spans="1:32" ht="20.25" customHeight="1">
      <c r="A32" s="220" t="s">
        <v>35</v>
      </c>
      <c r="B32" s="393" t="s">
        <v>36</v>
      </c>
      <c r="C32" s="393"/>
      <c r="D32" s="63" t="s">
        <v>37</v>
      </c>
      <c r="E32" s="63" t="s">
        <v>38</v>
      </c>
      <c r="F32" s="63" t="s">
        <v>39</v>
      </c>
      <c r="G32" s="393" t="s">
        <v>40</v>
      </c>
      <c r="H32" s="393"/>
      <c r="I32" s="393" t="s">
        <v>162</v>
      </c>
      <c r="J32" s="393"/>
      <c r="K32" s="393" t="s">
        <v>52</v>
      </c>
      <c r="L32" s="393"/>
      <c r="M32" s="220" t="s">
        <v>135</v>
      </c>
      <c r="N32" s="401" t="s">
        <v>5</v>
      </c>
      <c r="O32" s="401"/>
      <c r="P32" s="401"/>
      <c r="Q32" s="215"/>
      <c r="R32" s="402"/>
      <c r="S32" s="403"/>
      <c r="T32" s="221"/>
      <c r="U32" s="221"/>
      <c r="V32" s="221"/>
      <c r="W32" s="391" t="s">
        <v>68</v>
      </c>
      <c r="X32" s="392"/>
      <c r="Y32" s="392"/>
      <c r="Z32" s="392"/>
      <c r="AA32" s="189"/>
      <c r="AB32" s="189"/>
      <c r="AC32" s="190">
        <f>AC30/X2</f>
        <v>0.676555</v>
      </c>
      <c r="AD32" s="122"/>
      <c r="AE32" s="122"/>
      <c r="AF32" s="122"/>
    </row>
    <row r="33" spans="1:32" ht="37.5" customHeight="1">
      <c r="A33" s="299" t="s">
        <v>438</v>
      </c>
      <c r="B33" s="393" t="s">
        <v>439</v>
      </c>
      <c r="C33" s="393"/>
      <c r="D33" s="63" t="s">
        <v>440</v>
      </c>
      <c r="E33" s="63" t="s">
        <v>440</v>
      </c>
      <c r="F33" s="63" t="s">
        <v>441</v>
      </c>
      <c r="G33" s="393" t="s">
        <v>442</v>
      </c>
      <c r="H33" s="393"/>
      <c r="I33" s="393" t="s">
        <v>443</v>
      </c>
      <c r="J33" s="393"/>
      <c r="K33" s="393"/>
      <c r="L33" s="393"/>
      <c r="M33" s="235">
        <f ca="1">NOW()</f>
        <v>41359.56477372685</v>
      </c>
      <c r="N33" s="236" t="s">
        <v>19</v>
      </c>
      <c r="O33" s="192" t="s">
        <v>20</v>
      </c>
      <c r="P33" s="192" t="s">
        <v>21</v>
      </c>
      <c r="Q33" s="192" t="s">
        <v>22</v>
      </c>
      <c r="R33" s="395" t="s">
        <v>8</v>
      </c>
      <c r="S33" s="396"/>
      <c r="T33" s="195"/>
      <c r="U33" s="195"/>
      <c r="V33" s="195"/>
      <c r="W33" s="526" t="s">
        <v>69</v>
      </c>
      <c r="X33" s="527"/>
      <c r="Y33" s="237"/>
      <c r="Z33" s="237"/>
      <c r="AA33" s="222" t="s">
        <v>23</v>
      </c>
      <c r="AB33" s="385" t="s">
        <v>136</v>
      </c>
      <c r="AC33" s="386"/>
      <c r="AD33" s="122"/>
      <c r="AE33" s="122"/>
      <c r="AF33" s="122"/>
    </row>
    <row r="34" spans="14:29" ht="19.5" customHeight="1" thickBot="1">
      <c r="N34" s="123">
        <v>1</v>
      </c>
      <c r="O34" s="124"/>
      <c r="P34" s="125">
        <f>AC30</f>
        <v>67.6555</v>
      </c>
      <c r="Q34" s="126">
        <v>0</v>
      </c>
      <c r="R34" s="387">
        <f>P34+Q34</f>
        <v>67.6555</v>
      </c>
      <c r="S34" s="388"/>
      <c r="T34" s="239"/>
      <c r="U34" s="128"/>
      <c r="V34" s="128"/>
      <c r="W34" s="119"/>
      <c r="X34" s="129">
        <f>AC32/AA34</f>
        <v>2.2551833333333335</v>
      </c>
      <c r="Y34" s="240"/>
      <c r="Z34" s="240"/>
      <c r="AA34" s="130">
        <v>0.3</v>
      </c>
      <c r="AB34" s="389">
        <f ca="1">NOW()</f>
        <v>41359.56477372685</v>
      </c>
      <c r="AC34" s="390"/>
    </row>
  </sheetData>
  <sheetProtection/>
  <mergeCells count="130">
    <mergeCell ref="AB33:AC33"/>
    <mergeCell ref="R34:S34"/>
    <mergeCell ref="AB34:AC34"/>
    <mergeCell ref="R32:S32"/>
    <mergeCell ref="W32:Z32"/>
    <mergeCell ref="B33:C33"/>
    <mergeCell ref="G33:H33"/>
    <mergeCell ref="I33:J33"/>
    <mergeCell ref="K33:L33"/>
    <mergeCell ref="R33:S33"/>
    <mergeCell ref="W33:X33"/>
    <mergeCell ref="A30:E30"/>
    <mergeCell ref="G30:H30"/>
    <mergeCell ref="I30:K30"/>
    <mergeCell ref="P30:Q30"/>
    <mergeCell ref="R31:S31"/>
    <mergeCell ref="B32:C32"/>
    <mergeCell ref="G32:H32"/>
    <mergeCell ref="I32:J32"/>
    <mergeCell ref="K32:L32"/>
    <mergeCell ref="N32:P32"/>
    <mergeCell ref="A28:D28"/>
    <mergeCell ref="E28:F28"/>
    <mergeCell ref="H28:M28"/>
    <mergeCell ref="N28:Q28"/>
    <mergeCell ref="R28:AB28"/>
    <mergeCell ref="A29:K29"/>
    <mergeCell ref="N29:Q29"/>
    <mergeCell ref="A26:D26"/>
    <mergeCell ref="E26:F26"/>
    <mergeCell ref="H26:M26"/>
    <mergeCell ref="N26:Q26"/>
    <mergeCell ref="A27:D27"/>
    <mergeCell ref="E27:F27"/>
    <mergeCell ref="H27:M27"/>
    <mergeCell ref="N27:Q27"/>
    <mergeCell ref="A24:D24"/>
    <mergeCell ref="E24:F24"/>
    <mergeCell ref="H24:M24"/>
    <mergeCell ref="N24:Q24"/>
    <mergeCell ref="A25:D25"/>
    <mergeCell ref="E25:F25"/>
    <mergeCell ref="H25:M25"/>
    <mergeCell ref="N25:Q25"/>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72"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306" customWidth="1"/>
    <col min="2" max="3" width="9.140625" style="306" customWidth="1"/>
    <col min="4" max="4" width="9.28125" style="306" customWidth="1"/>
    <col min="5" max="5" width="9.140625" style="306" customWidth="1"/>
    <col min="6" max="6" width="13.8515625" style="306" customWidth="1"/>
    <col min="7" max="7" width="4.8515625" style="306" customWidth="1"/>
    <col min="8" max="8" width="8.57421875" style="306" customWidth="1"/>
    <col min="9" max="9" width="9.8515625" style="306" customWidth="1"/>
    <col min="10" max="10" width="8.57421875" style="306" customWidth="1"/>
    <col min="11" max="12" width="13.7109375" style="306" customWidth="1"/>
    <col min="13" max="13" width="25.00390625" style="306" customWidth="1"/>
    <col min="14" max="16" width="9.140625" style="306" customWidth="1"/>
    <col min="17" max="17" width="6.140625" style="306" customWidth="1"/>
    <col min="18" max="18" width="8.57421875" style="306" customWidth="1"/>
    <col min="19" max="19" width="7.7109375" style="306" customWidth="1"/>
    <col min="20" max="20" width="10.421875" style="306" customWidth="1"/>
    <col min="21" max="22" width="8.8515625" style="306" customWidth="1"/>
    <col min="23" max="23" width="9.8515625" style="306" customWidth="1"/>
    <col min="24" max="24" width="12.28125" style="306" customWidth="1"/>
    <col min="25" max="25" width="4.8515625" style="306" customWidth="1"/>
    <col min="26" max="26" width="10.28125" style="306" customWidth="1"/>
    <col min="27" max="27" width="8.140625" style="306" customWidth="1"/>
    <col min="28" max="28" width="8.57421875" style="306" customWidth="1"/>
    <col min="29" max="29" width="11.57421875" style="306" customWidth="1"/>
    <col min="30" max="32" width="9.00390625" style="306" customWidth="1"/>
    <col min="33" max="16384" width="9.140625" style="306" customWidth="1"/>
  </cols>
  <sheetData>
    <row r="1" spans="1:34" ht="23.25">
      <c r="A1" s="554" t="s">
        <v>43</v>
      </c>
      <c r="B1" s="554"/>
      <c r="C1" s="554"/>
      <c r="D1" s="554"/>
      <c r="E1" s="554"/>
      <c r="F1" s="554"/>
      <c r="G1" s="554"/>
      <c r="H1" s="554"/>
      <c r="I1" s="554"/>
      <c r="J1" s="554"/>
      <c r="K1" s="554"/>
      <c r="L1" s="314"/>
      <c r="M1" s="332" t="s">
        <v>138</v>
      </c>
      <c r="N1" s="555" t="s">
        <v>56</v>
      </c>
      <c r="O1" s="556"/>
      <c r="P1" s="556"/>
      <c r="Q1" s="556"/>
      <c r="R1" s="556"/>
      <c r="S1" s="556"/>
      <c r="T1" s="556"/>
      <c r="U1" s="556"/>
      <c r="V1" s="556"/>
      <c r="W1" s="556"/>
      <c r="X1" s="556"/>
      <c r="Y1" s="556"/>
      <c r="Z1" s="556"/>
      <c r="AA1" s="556"/>
      <c r="AB1" s="556"/>
      <c r="AC1" s="556"/>
      <c r="AD1" s="300"/>
      <c r="AE1" s="300"/>
      <c r="AF1" s="300"/>
      <c r="AG1" s="70"/>
      <c r="AH1" s="70"/>
    </row>
    <row r="2" spans="1:34" ht="47.25" customHeight="1" thickBot="1">
      <c r="A2" s="450" t="s">
        <v>44</v>
      </c>
      <c r="B2" s="450"/>
      <c r="C2" s="469" t="s">
        <v>397</v>
      </c>
      <c r="D2" s="469"/>
      <c r="E2" s="469"/>
      <c r="F2" s="469"/>
      <c r="G2" s="469"/>
      <c r="H2" s="309" t="s">
        <v>55</v>
      </c>
      <c r="I2" s="151">
        <v>100</v>
      </c>
      <c r="J2" s="309" t="s">
        <v>48</v>
      </c>
      <c r="K2" s="315">
        <v>1</v>
      </c>
      <c r="L2" s="152" t="s">
        <v>398</v>
      </c>
      <c r="M2" s="153"/>
      <c r="N2" s="470" t="s">
        <v>17</v>
      </c>
      <c r="O2" s="470"/>
      <c r="P2" s="471" t="str">
        <f>C2</f>
        <v>Buttermilk Biscuits</v>
      </c>
      <c r="Q2" s="471"/>
      <c r="R2" s="471"/>
      <c r="S2" s="471"/>
      <c r="T2" s="472"/>
      <c r="U2" s="77"/>
      <c r="V2" s="77"/>
      <c r="W2" s="309" t="s">
        <v>55</v>
      </c>
      <c r="X2" s="78">
        <f>I2</f>
        <v>100</v>
      </c>
      <c r="Y2" s="79"/>
      <c r="Z2" s="80" t="s">
        <v>53</v>
      </c>
      <c r="AA2" s="81">
        <f>K2</f>
        <v>1</v>
      </c>
      <c r="AB2" s="87" t="s">
        <v>398</v>
      </c>
      <c r="AC2" s="83"/>
      <c r="AD2" s="84"/>
      <c r="AE2" s="84"/>
      <c r="AF2" s="84"/>
      <c r="AG2" s="83"/>
      <c r="AH2" s="83"/>
    </row>
    <row r="3" spans="1:34" ht="19.5" customHeight="1">
      <c r="A3" s="302"/>
      <c r="B3" s="450"/>
      <c r="C3" s="506"/>
      <c r="D3" s="506"/>
      <c r="E3" s="506"/>
      <c r="F3" s="506"/>
      <c r="G3" s="506"/>
      <c r="H3" s="231"/>
      <c r="I3" s="300"/>
      <c r="J3" s="309"/>
      <c r="K3" s="81"/>
      <c r="L3" s="85"/>
      <c r="M3" s="86"/>
      <c r="N3" s="309"/>
      <c r="O3" s="309"/>
      <c r="P3" s="505">
        <f>C3</f>
        <v>0</v>
      </c>
      <c r="Q3" s="506"/>
      <c r="R3" s="506"/>
      <c r="S3" s="506"/>
      <c r="T3" s="506"/>
      <c r="U3" s="506"/>
      <c r="V3" s="506"/>
      <c r="W3" s="309"/>
      <c r="X3" s="79">
        <f>I3</f>
        <v>0</v>
      </c>
      <c r="Y3" s="79"/>
      <c r="Z3" s="80"/>
      <c r="AA3" s="81"/>
      <c r="AB3" s="87"/>
      <c r="AC3" s="83"/>
      <c r="AD3" s="84"/>
      <c r="AE3" s="84"/>
      <c r="AF3" s="84"/>
      <c r="AG3" s="83"/>
      <c r="AH3" s="83"/>
    </row>
    <row r="4" spans="2:34" ht="15" customHeight="1" thickBot="1">
      <c r="B4" s="507"/>
      <c r="C4" s="507"/>
      <c r="D4" s="507"/>
      <c r="E4" s="507"/>
      <c r="F4" s="507"/>
      <c r="G4" s="507"/>
      <c r="H4" s="88"/>
      <c r="I4" s="88"/>
      <c r="N4" s="89"/>
      <c r="O4" s="89"/>
      <c r="P4" s="507"/>
      <c r="Q4" s="507"/>
      <c r="R4" s="507"/>
      <c r="S4" s="507"/>
      <c r="T4" s="507"/>
      <c r="U4" s="507"/>
      <c r="V4" s="507"/>
      <c r="W4" s="300"/>
      <c r="X4" s="83"/>
      <c r="Y4" s="83"/>
      <c r="Z4" s="83"/>
      <c r="AA4" s="83"/>
      <c r="AB4" s="83"/>
      <c r="AC4" s="83"/>
      <c r="AD4" s="90"/>
      <c r="AE4" s="90"/>
      <c r="AF4" s="90"/>
      <c r="AG4" s="83"/>
      <c r="AH4" s="83"/>
    </row>
    <row r="5" spans="1:32" ht="45.75" customHeight="1" thickBot="1">
      <c r="A5" s="461" t="s">
        <v>1</v>
      </c>
      <c r="B5" s="547"/>
      <c r="C5" s="547"/>
      <c r="D5" s="548"/>
      <c r="E5" s="549" t="s">
        <v>54</v>
      </c>
      <c r="F5" s="550"/>
      <c r="G5" s="549" t="s">
        <v>32</v>
      </c>
      <c r="H5" s="551"/>
      <c r="I5" s="551"/>
      <c r="J5" s="551"/>
      <c r="K5" s="551"/>
      <c r="L5" s="551"/>
      <c r="M5" s="550"/>
      <c r="N5" s="552" t="s">
        <v>1</v>
      </c>
      <c r="O5" s="553"/>
      <c r="P5" s="553"/>
      <c r="Q5" s="553"/>
      <c r="R5" s="316" t="s">
        <v>31</v>
      </c>
      <c r="S5" s="317" t="s">
        <v>2</v>
      </c>
      <c r="T5" s="318" t="s">
        <v>51</v>
      </c>
      <c r="U5" s="316" t="s">
        <v>30</v>
      </c>
      <c r="V5" s="316" t="s">
        <v>49</v>
      </c>
      <c r="W5" s="316" t="s">
        <v>57</v>
      </c>
      <c r="X5" s="442" t="s">
        <v>75</v>
      </c>
      <c r="Y5" s="442"/>
      <c r="Z5" s="316" t="s">
        <v>50</v>
      </c>
      <c r="AA5" s="318" t="s">
        <v>13</v>
      </c>
      <c r="AB5" s="318" t="s">
        <v>399</v>
      </c>
      <c r="AC5" s="319" t="s">
        <v>400</v>
      </c>
      <c r="AD5" s="300"/>
      <c r="AE5" s="300"/>
      <c r="AF5" s="300"/>
    </row>
    <row r="6" spans="1:32" ht="18.75" customHeight="1">
      <c r="A6" s="443" t="s">
        <v>401</v>
      </c>
      <c r="B6" s="444"/>
      <c r="C6" s="444"/>
      <c r="D6" s="445"/>
      <c r="E6" s="446" t="s">
        <v>402</v>
      </c>
      <c r="F6" s="447"/>
      <c r="G6" s="91">
        <v>1</v>
      </c>
      <c r="H6" s="444" t="s">
        <v>403</v>
      </c>
      <c r="I6" s="500"/>
      <c r="J6" s="500"/>
      <c r="K6" s="500"/>
      <c r="L6" s="500"/>
      <c r="M6" s="501"/>
      <c r="N6" s="485" t="str">
        <f aca="true" t="shared" si="0" ref="N6:N21">A6</f>
        <v>Flour, All Purpose</v>
      </c>
      <c r="O6" s="486"/>
      <c r="P6" s="486"/>
      <c r="Q6" s="486"/>
      <c r="R6" s="108">
        <v>0.05</v>
      </c>
      <c r="S6" s="93" t="s">
        <v>80</v>
      </c>
      <c r="T6" s="94">
        <f>R6*X2</f>
        <v>5</v>
      </c>
      <c r="U6" s="95">
        <f>(X2*R6)/AA6</f>
        <v>5</v>
      </c>
      <c r="V6" s="96" t="s">
        <v>163</v>
      </c>
      <c r="W6" s="97">
        <v>9.12</v>
      </c>
      <c r="X6" s="98">
        <f>U6/1</f>
        <v>5</v>
      </c>
      <c r="Y6" s="98" t="s">
        <v>80</v>
      </c>
      <c r="Z6" s="99">
        <f>(W6/25)*X6</f>
        <v>1.8239999999999998</v>
      </c>
      <c r="AA6" s="100">
        <v>1</v>
      </c>
      <c r="AB6" s="101">
        <f>Z6/X2</f>
        <v>0.01824</v>
      </c>
      <c r="AC6" s="102">
        <f>X2*AB6</f>
        <v>1.8239999999999998</v>
      </c>
      <c r="AD6" s="103"/>
      <c r="AE6" s="103"/>
      <c r="AF6" s="103"/>
    </row>
    <row r="7" spans="1:32" ht="18.75" customHeight="1">
      <c r="A7" s="431" t="s">
        <v>404</v>
      </c>
      <c r="B7" s="432"/>
      <c r="C7" s="432"/>
      <c r="D7" s="433"/>
      <c r="E7" s="436" t="s">
        <v>405</v>
      </c>
      <c r="F7" s="435"/>
      <c r="G7" s="91">
        <v>2</v>
      </c>
      <c r="H7" s="432" t="s">
        <v>406</v>
      </c>
      <c r="I7" s="483"/>
      <c r="J7" s="483"/>
      <c r="K7" s="483"/>
      <c r="L7" s="483"/>
      <c r="M7" s="484"/>
      <c r="N7" s="485" t="str">
        <f t="shared" si="0"/>
        <v>Baking Powder</v>
      </c>
      <c r="O7" s="486"/>
      <c r="P7" s="486"/>
      <c r="Q7" s="486"/>
      <c r="R7" s="108">
        <v>0.05</v>
      </c>
      <c r="S7" s="93" t="s">
        <v>407</v>
      </c>
      <c r="T7" s="98">
        <f>X2*R7</f>
        <v>5</v>
      </c>
      <c r="U7" s="95">
        <f>(X2*R7)/AA7</f>
        <v>5</v>
      </c>
      <c r="V7" s="96" t="s">
        <v>436</v>
      </c>
      <c r="W7" s="97">
        <v>12.36</v>
      </c>
      <c r="X7" s="98">
        <f>U7/1</f>
        <v>5</v>
      </c>
      <c r="Y7" s="98" t="s">
        <v>106</v>
      </c>
      <c r="Z7" s="99">
        <f>(W7/32)*X7</f>
        <v>1.93125</v>
      </c>
      <c r="AA7" s="106">
        <v>1</v>
      </c>
      <c r="AB7" s="101">
        <f>Z7/X2</f>
        <v>0.0193125</v>
      </c>
      <c r="AC7" s="102">
        <v>1.93</v>
      </c>
      <c r="AD7" s="103"/>
      <c r="AE7" s="103"/>
      <c r="AF7" s="103"/>
    </row>
    <row r="8" spans="1:32" ht="18.75" customHeight="1">
      <c r="A8" s="431" t="s">
        <v>99</v>
      </c>
      <c r="B8" s="432"/>
      <c r="C8" s="432"/>
      <c r="D8" s="433"/>
      <c r="E8" s="434" t="s">
        <v>408</v>
      </c>
      <c r="F8" s="435"/>
      <c r="G8" s="91">
        <v>3</v>
      </c>
      <c r="H8" s="432" t="s">
        <v>409</v>
      </c>
      <c r="I8" s="483"/>
      <c r="J8" s="483"/>
      <c r="K8" s="483"/>
      <c r="L8" s="483"/>
      <c r="M8" s="484"/>
      <c r="N8" s="485" t="str">
        <f>A8</f>
        <v>Salt</v>
      </c>
      <c r="O8" s="486"/>
      <c r="P8" s="486"/>
      <c r="Q8" s="486"/>
      <c r="R8" s="104">
        <v>0.05</v>
      </c>
      <c r="S8" s="93" t="s">
        <v>237</v>
      </c>
      <c r="T8" s="94">
        <f>X2*R8</f>
        <v>5</v>
      </c>
      <c r="U8" s="95">
        <f>(X2*R8)/AA8</f>
        <v>5</v>
      </c>
      <c r="V8" s="96" t="s">
        <v>237</v>
      </c>
      <c r="W8" s="97">
        <v>0</v>
      </c>
      <c r="X8" s="98">
        <f>U8/1</f>
        <v>5</v>
      </c>
      <c r="Y8" s="98"/>
      <c r="Z8" s="99">
        <f aca="true" t="shared" si="1" ref="Z8:Z21">W8*X8</f>
        <v>0</v>
      </c>
      <c r="AA8" s="106">
        <v>1</v>
      </c>
      <c r="AB8" s="101">
        <f>Z8/X2</f>
        <v>0</v>
      </c>
      <c r="AC8" s="107">
        <f aca="true" t="shared" si="2" ref="AC8:AC23">ROUND(U8*AB8,5)</f>
        <v>0</v>
      </c>
      <c r="AD8" s="103"/>
      <c r="AE8" s="103"/>
      <c r="AF8" s="103"/>
    </row>
    <row r="9" spans="1:32" ht="18.75" customHeight="1">
      <c r="A9" s="431" t="s">
        <v>410</v>
      </c>
      <c r="B9" s="432"/>
      <c r="C9" s="432"/>
      <c r="D9" s="433"/>
      <c r="E9" s="436" t="s">
        <v>411</v>
      </c>
      <c r="F9" s="435"/>
      <c r="G9" s="91"/>
      <c r="H9" s="432" t="s">
        <v>412</v>
      </c>
      <c r="I9" s="483"/>
      <c r="J9" s="483"/>
      <c r="K9" s="483"/>
      <c r="L9" s="483"/>
      <c r="M9" s="484"/>
      <c r="N9" s="485" t="str">
        <f t="shared" si="0"/>
        <v>Baking Soda</v>
      </c>
      <c r="O9" s="486"/>
      <c r="P9" s="486"/>
      <c r="Q9" s="486"/>
      <c r="R9" s="104">
        <v>0.02</v>
      </c>
      <c r="S9" s="93" t="s">
        <v>237</v>
      </c>
      <c r="T9" s="94">
        <f>X2*R9</f>
        <v>2</v>
      </c>
      <c r="U9" s="95">
        <f>(X2*R9)/AA9</f>
        <v>2</v>
      </c>
      <c r="V9" s="96" t="s">
        <v>237</v>
      </c>
      <c r="W9" s="97">
        <v>0</v>
      </c>
      <c r="X9" s="98">
        <f>U9/1</f>
        <v>2</v>
      </c>
      <c r="Y9" s="98"/>
      <c r="Z9" s="99">
        <f t="shared" si="1"/>
        <v>0</v>
      </c>
      <c r="AA9" s="106">
        <v>1</v>
      </c>
      <c r="AB9" s="101">
        <f>Z9/X2</f>
        <v>0</v>
      </c>
      <c r="AC9" s="107">
        <f t="shared" si="2"/>
        <v>0</v>
      </c>
      <c r="AD9" s="103"/>
      <c r="AE9" s="103"/>
      <c r="AF9" s="103"/>
    </row>
    <row r="10" spans="1:32" ht="18.75" customHeight="1">
      <c r="A10" s="431" t="s">
        <v>413</v>
      </c>
      <c r="B10" s="432"/>
      <c r="C10" s="432"/>
      <c r="D10" s="433"/>
      <c r="E10" s="436" t="s">
        <v>414</v>
      </c>
      <c r="F10" s="435"/>
      <c r="G10" s="91"/>
      <c r="H10" s="432" t="s">
        <v>415</v>
      </c>
      <c r="I10" s="494"/>
      <c r="J10" s="494"/>
      <c r="K10" s="494"/>
      <c r="L10" s="494"/>
      <c r="M10" s="495"/>
      <c r="N10" s="485" t="str">
        <f t="shared" si="0"/>
        <v>Shortening, All Purpose</v>
      </c>
      <c r="O10" s="486"/>
      <c r="P10" s="486"/>
      <c r="Q10" s="486"/>
      <c r="R10" s="105">
        <v>0.14</v>
      </c>
      <c r="S10" s="93" t="s">
        <v>407</v>
      </c>
      <c r="T10" s="94">
        <f>X2*R10</f>
        <v>14.000000000000002</v>
      </c>
      <c r="U10" s="95">
        <f>(X2*R10)/AA10</f>
        <v>14.000000000000002</v>
      </c>
      <c r="V10" s="96" t="s">
        <v>395</v>
      </c>
      <c r="W10" s="97">
        <v>40.36</v>
      </c>
      <c r="X10" s="98">
        <f>U10/16</f>
        <v>0.8750000000000001</v>
      </c>
      <c r="Y10" s="98" t="s">
        <v>80</v>
      </c>
      <c r="Z10" s="99">
        <f>(W10/50)*X10</f>
        <v>0.7063000000000001</v>
      </c>
      <c r="AA10" s="106">
        <v>1</v>
      </c>
      <c r="AB10" s="101">
        <f>Z10/X2</f>
        <v>0.007063000000000002</v>
      </c>
      <c r="AC10" s="107">
        <v>0.71</v>
      </c>
      <c r="AD10" s="103"/>
      <c r="AE10" s="103"/>
      <c r="AF10" s="103"/>
    </row>
    <row r="11" spans="1:32" ht="18.75" customHeight="1">
      <c r="A11" s="431" t="s">
        <v>416</v>
      </c>
      <c r="B11" s="432"/>
      <c r="C11" s="432"/>
      <c r="D11" s="433"/>
      <c r="E11" s="436" t="s">
        <v>417</v>
      </c>
      <c r="F11" s="435"/>
      <c r="G11" s="91"/>
      <c r="H11" s="432" t="s">
        <v>431</v>
      </c>
      <c r="I11" s="494"/>
      <c r="J11" s="494"/>
      <c r="K11" s="494"/>
      <c r="L11" s="494"/>
      <c r="M11" s="495"/>
      <c r="N11" s="496" t="str">
        <f t="shared" si="0"/>
        <v>Buttermilk</v>
      </c>
      <c r="O11" s="439"/>
      <c r="P11" s="439"/>
      <c r="Q11" s="439"/>
      <c r="R11" s="104">
        <v>0.07</v>
      </c>
      <c r="S11" s="93" t="s">
        <v>67</v>
      </c>
      <c r="T11" s="94">
        <f>X2*R11</f>
        <v>7.000000000000001</v>
      </c>
      <c r="U11" s="95">
        <f>(X2*R11)/AA11</f>
        <v>7.000000000000001</v>
      </c>
      <c r="V11" s="96" t="s">
        <v>437</v>
      </c>
      <c r="W11" s="97">
        <v>1.73</v>
      </c>
      <c r="X11" s="98">
        <f aca="true" t="shared" si="3" ref="X11:X21">U11/1</f>
        <v>7.000000000000001</v>
      </c>
      <c r="Y11" s="98" t="s">
        <v>67</v>
      </c>
      <c r="Z11" s="99">
        <f>(W11/8)*X11</f>
        <v>1.5137500000000002</v>
      </c>
      <c r="AA11" s="106">
        <v>1</v>
      </c>
      <c r="AB11" s="101">
        <f>Z11/X2</f>
        <v>0.015137500000000002</v>
      </c>
      <c r="AC11" s="102">
        <v>1.51</v>
      </c>
      <c r="AD11" s="103"/>
      <c r="AE11" s="103"/>
      <c r="AF11" s="103"/>
    </row>
    <row r="12" spans="1:32" ht="18.75" customHeight="1">
      <c r="A12" s="431"/>
      <c r="B12" s="432"/>
      <c r="C12" s="432"/>
      <c r="D12" s="433"/>
      <c r="E12" s="436"/>
      <c r="F12" s="435"/>
      <c r="G12" s="91"/>
      <c r="H12" s="432"/>
      <c r="I12" s="494"/>
      <c r="J12" s="494"/>
      <c r="K12" s="494"/>
      <c r="L12" s="494"/>
      <c r="M12" s="495"/>
      <c r="N12" s="431">
        <f>A12</f>
        <v>0</v>
      </c>
      <c r="O12" s="437"/>
      <c r="P12" s="437"/>
      <c r="Q12" s="437"/>
      <c r="R12" s="104"/>
      <c r="S12" s="93"/>
      <c r="T12" s="94">
        <f>X2*R12</f>
        <v>0</v>
      </c>
      <c r="U12" s="95">
        <f>(X2*R12)/AA12</f>
        <v>0</v>
      </c>
      <c r="V12" s="96"/>
      <c r="W12" s="97">
        <v>0</v>
      </c>
      <c r="X12" s="98">
        <f t="shared" si="3"/>
        <v>0</v>
      </c>
      <c r="Y12" s="98"/>
      <c r="Z12" s="99">
        <f t="shared" si="1"/>
        <v>0</v>
      </c>
      <c r="AA12" s="106">
        <v>1</v>
      </c>
      <c r="AB12" s="101">
        <f>Z12/X2</f>
        <v>0</v>
      </c>
      <c r="AC12" s="107">
        <f t="shared" si="2"/>
        <v>0</v>
      </c>
      <c r="AD12" s="103"/>
      <c r="AE12" s="103"/>
      <c r="AF12" s="103"/>
    </row>
    <row r="13" spans="1:32" ht="18.75" customHeight="1">
      <c r="A13" s="431"/>
      <c r="B13" s="432"/>
      <c r="C13" s="432"/>
      <c r="D13" s="433"/>
      <c r="E13" s="434"/>
      <c r="F13" s="435"/>
      <c r="G13" s="91"/>
      <c r="H13" s="432" t="s">
        <v>418</v>
      </c>
      <c r="I13" s="483"/>
      <c r="J13" s="483"/>
      <c r="K13" s="483"/>
      <c r="L13" s="483"/>
      <c r="M13" s="484"/>
      <c r="N13" s="485">
        <f t="shared" si="0"/>
        <v>0</v>
      </c>
      <c r="O13" s="486"/>
      <c r="P13" s="486"/>
      <c r="Q13" s="486"/>
      <c r="R13" s="104"/>
      <c r="S13" s="93"/>
      <c r="T13" s="94">
        <f>X2*R13</f>
        <v>0</v>
      </c>
      <c r="U13" s="95">
        <f>(X2*R13)/AA13</f>
        <v>0</v>
      </c>
      <c r="V13" s="96"/>
      <c r="W13" s="97">
        <v>0</v>
      </c>
      <c r="X13" s="98">
        <f>U13/1</f>
        <v>0</v>
      </c>
      <c r="Y13" s="98"/>
      <c r="Z13" s="99">
        <f t="shared" si="1"/>
        <v>0</v>
      </c>
      <c r="AA13" s="106">
        <v>1</v>
      </c>
      <c r="AB13" s="101">
        <f>Z13/X2</f>
        <v>0</v>
      </c>
      <c r="AC13" s="107">
        <f t="shared" si="2"/>
        <v>0</v>
      </c>
      <c r="AD13" s="103"/>
      <c r="AE13" s="103"/>
      <c r="AF13" s="103"/>
    </row>
    <row r="14" spans="1:32" ht="18.75" customHeight="1">
      <c r="A14" s="431"/>
      <c r="B14" s="432"/>
      <c r="C14" s="432"/>
      <c r="D14" s="433"/>
      <c r="E14" s="434"/>
      <c r="F14" s="435"/>
      <c r="G14" s="91"/>
      <c r="H14" s="432"/>
      <c r="I14" s="483"/>
      <c r="J14" s="483"/>
      <c r="K14" s="483"/>
      <c r="L14" s="483"/>
      <c r="M14" s="484"/>
      <c r="N14" s="485">
        <f t="shared" si="0"/>
        <v>0</v>
      </c>
      <c r="O14" s="486"/>
      <c r="P14" s="486"/>
      <c r="Q14" s="486"/>
      <c r="R14" s="104"/>
      <c r="S14" s="93"/>
      <c r="T14" s="94">
        <f>X2*R14</f>
        <v>0</v>
      </c>
      <c r="U14" s="95">
        <f>(X2*R14)/AA14</f>
        <v>0</v>
      </c>
      <c r="V14" s="96"/>
      <c r="W14" s="97">
        <v>0</v>
      </c>
      <c r="X14" s="98">
        <f>U14/1</f>
        <v>0</v>
      </c>
      <c r="Y14" s="98"/>
      <c r="Z14" s="99">
        <f t="shared" si="1"/>
        <v>0</v>
      </c>
      <c r="AA14" s="106">
        <v>1</v>
      </c>
      <c r="AB14" s="101">
        <f>Z14/X2</f>
        <v>0</v>
      </c>
      <c r="AC14" s="107">
        <f t="shared" si="2"/>
        <v>0</v>
      </c>
      <c r="AD14" s="103"/>
      <c r="AE14" s="103"/>
      <c r="AF14" s="103"/>
    </row>
    <row r="15" spans="1:32" ht="18.75" customHeight="1">
      <c r="A15" s="431"/>
      <c r="B15" s="432"/>
      <c r="C15" s="432"/>
      <c r="D15" s="433"/>
      <c r="E15" s="434"/>
      <c r="F15" s="435"/>
      <c r="G15" s="91"/>
      <c r="H15" s="432"/>
      <c r="I15" s="483"/>
      <c r="J15" s="483"/>
      <c r="K15" s="483"/>
      <c r="L15" s="483"/>
      <c r="M15" s="484"/>
      <c r="N15" s="485">
        <f t="shared" si="0"/>
        <v>0</v>
      </c>
      <c r="O15" s="486"/>
      <c r="P15" s="486"/>
      <c r="Q15" s="486"/>
      <c r="R15" s="104"/>
      <c r="S15" s="93"/>
      <c r="T15" s="94">
        <f>X2*R15</f>
        <v>0</v>
      </c>
      <c r="U15" s="95">
        <f>(X2*R15)/AA15</f>
        <v>0</v>
      </c>
      <c r="V15" s="96"/>
      <c r="W15" s="97">
        <v>0</v>
      </c>
      <c r="X15" s="94">
        <f t="shared" si="3"/>
        <v>0</v>
      </c>
      <c r="Y15" s="94"/>
      <c r="Z15" s="99">
        <f t="shared" si="1"/>
        <v>0</v>
      </c>
      <c r="AA15" s="106">
        <v>1</v>
      </c>
      <c r="AB15" s="101">
        <f>Z15/X2</f>
        <v>0</v>
      </c>
      <c r="AC15" s="107">
        <f t="shared" si="2"/>
        <v>0</v>
      </c>
      <c r="AD15" s="103"/>
      <c r="AE15" s="103"/>
      <c r="AF15" s="103"/>
    </row>
    <row r="16" spans="1:32" ht="18.75" customHeight="1">
      <c r="A16" s="431"/>
      <c r="B16" s="432"/>
      <c r="C16" s="432"/>
      <c r="D16" s="433"/>
      <c r="E16" s="434"/>
      <c r="F16" s="435"/>
      <c r="G16" s="91"/>
      <c r="H16" s="432"/>
      <c r="I16" s="483"/>
      <c r="J16" s="483"/>
      <c r="K16" s="483"/>
      <c r="L16" s="483"/>
      <c r="M16" s="484"/>
      <c r="N16" s="485">
        <f t="shared" si="0"/>
        <v>0</v>
      </c>
      <c r="O16" s="486"/>
      <c r="P16" s="486"/>
      <c r="Q16" s="486"/>
      <c r="R16" s="104"/>
      <c r="S16" s="93"/>
      <c r="T16" s="94">
        <f>X2*R16</f>
        <v>0</v>
      </c>
      <c r="U16" s="95">
        <f>(X2*R16)/AA16</f>
        <v>0</v>
      </c>
      <c r="V16" s="96"/>
      <c r="W16" s="97">
        <v>0</v>
      </c>
      <c r="X16" s="94">
        <f t="shared" si="3"/>
        <v>0</v>
      </c>
      <c r="Y16" s="94"/>
      <c r="Z16" s="99">
        <f t="shared" si="1"/>
        <v>0</v>
      </c>
      <c r="AA16" s="106">
        <v>1</v>
      </c>
      <c r="AB16" s="101">
        <f>Z16/X2</f>
        <v>0</v>
      </c>
      <c r="AC16" s="107">
        <f t="shared" si="2"/>
        <v>0</v>
      </c>
      <c r="AD16" s="103"/>
      <c r="AE16" s="103"/>
      <c r="AF16" s="103"/>
    </row>
    <row r="17" spans="1:32" ht="18.75" customHeight="1">
      <c r="A17" s="431"/>
      <c r="B17" s="432"/>
      <c r="C17" s="432"/>
      <c r="D17" s="433"/>
      <c r="E17" s="434"/>
      <c r="F17" s="435"/>
      <c r="G17" s="91"/>
      <c r="H17" s="432"/>
      <c r="I17" s="483"/>
      <c r="J17" s="483"/>
      <c r="K17" s="483"/>
      <c r="L17" s="483"/>
      <c r="M17" s="484"/>
      <c r="N17" s="485">
        <f t="shared" si="0"/>
        <v>0</v>
      </c>
      <c r="O17" s="486"/>
      <c r="P17" s="486"/>
      <c r="Q17" s="486"/>
      <c r="R17" s="104"/>
      <c r="S17" s="93"/>
      <c r="T17" s="94">
        <f>X2*R17</f>
        <v>0</v>
      </c>
      <c r="U17" s="95">
        <f>(X2*R17)/AA17</f>
        <v>0</v>
      </c>
      <c r="V17" s="96"/>
      <c r="W17" s="97">
        <v>0</v>
      </c>
      <c r="X17" s="94">
        <f t="shared" si="3"/>
        <v>0</v>
      </c>
      <c r="Y17" s="94"/>
      <c r="Z17" s="99">
        <f t="shared" si="1"/>
        <v>0</v>
      </c>
      <c r="AA17" s="106">
        <v>1</v>
      </c>
      <c r="AB17" s="101">
        <f>Z17/X2</f>
        <v>0</v>
      </c>
      <c r="AC17" s="107">
        <f t="shared" si="2"/>
        <v>0</v>
      </c>
      <c r="AD17" s="103"/>
      <c r="AE17" s="103"/>
      <c r="AF17" s="103"/>
    </row>
    <row r="18" spans="1:32" ht="18.75" customHeight="1">
      <c r="A18" s="431"/>
      <c r="B18" s="432"/>
      <c r="C18" s="432"/>
      <c r="D18" s="433"/>
      <c r="E18" s="434"/>
      <c r="F18" s="435"/>
      <c r="G18" s="91"/>
      <c r="H18" s="432"/>
      <c r="I18" s="483"/>
      <c r="J18" s="483"/>
      <c r="K18" s="483"/>
      <c r="L18" s="483"/>
      <c r="M18" s="484"/>
      <c r="N18" s="485">
        <f t="shared" si="0"/>
        <v>0</v>
      </c>
      <c r="O18" s="486"/>
      <c r="P18" s="486"/>
      <c r="Q18" s="486"/>
      <c r="R18" s="104"/>
      <c r="S18" s="93"/>
      <c r="T18" s="94">
        <f>X2*R18</f>
        <v>0</v>
      </c>
      <c r="U18" s="95">
        <f>(X2*R18)/AA18</f>
        <v>0</v>
      </c>
      <c r="V18" s="96"/>
      <c r="W18" s="97">
        <v>0</v>
      </c>
      <c r="X18" s="94">
        <f t="shared" si="3"/>
        <v>0</v>
      </c>
      <c r="Y18" s="94"/>
      <c r="Z18" s="99">
        <f t="shared" si="1"/>
        <v>0</v>
      </c>
      <c r="AA18" s="106">
        <v>1</v>
      </c>
      <c r="AB18" s="101">
        <f>Z18/X2</f>
        <v>0</v>
      </c>
      <c r="AC18" s="107">
        <f t="shared" si="2"/>
        <v>0</v>
      </c>
      <c r="AD18" s="103"/>
      <c r="AE18" s="103"/>
      <c r="AF18" s="103"/>
    </row>
    <row r="19" spans="1:32" ht="18.75" customHeight="1">
      <c r="A19" s="431"/>
      <c r="B19" s="432"/>
      <c r="C19" s="432"/>
      <c r="D19" s="433"/>
      <c r="E19" s="434"/>
      <c r="F19" s="435"/>
      <c r="G19" s="91"/>
      <c r="H19" s="432"/>
      <c r="I19" s="483"/>
      <c r="J19" s="483"/>
      <c r="K19" s="483"/>
      <c r="L19" s="483"/>
      <c r="M19" s="484"/>
      <c r="N19" s="485">
        <f t="shared" si="0"/>
        <v>0</v>
      </c>
      <c r="O19" s="486"/>
      <c r="P19" s="486"/>
      <c r="Q19" s="486"/>
      <c r="R19" s="104"/>
      <c r="S19" s="93"/>
      <c r="T19" s="94">
        <f>X2*R19</f>
        <v>0</v>
      </c>
      <c r="U19" s="109">
        <f>(X2*R19)/AA19</f>
        <v>0</v>
      </c>
      <c r="V19" s="96"/>
      <c r="W19" s="97">
        <v>0</v>
      </c>
      <c r="X19" s="94">
        <f t="shared" si="3"/>
        <v>0</v>
      </c>
      <c r="Y19" s="94"/>
      <c r="Z19" s="99">
        <f t="shared" si="1"/>
        <v>0</v>
      </c>
      <c r="AA19" s="106">
        <v>1</v>
      </c>
      <c r="AB19" s="101"/>
      <c r="AC19" s="107">
        <f t="shared" si="2"/>
        <v>0</v>
      </c>
      <c r="AD19" s="103"/>
      <c r="AE19" s="103"/>
      <c r="AF19" s="103"/>
    </row>
    <row r="20" spans="1:32" ht="18.75" customHeight="1">
      <c r="A20" s="431"/>
      <c r="B20" s="432"/>
      <c r="C20" s="432"/>
      <c r="D20" s="433"/>
      <c r="E20" s="434"/>
      <c r="F20" s="435"/>
      <c r="G20" s="91"/>
      <c r="H20" s="432"/>
      <c r="I20" s="483"/>
      <c r="J20" s="483"/>
      <c r="K20" s="483"/>
      <c r="L20" s="483"/>
      <c r="M20" s="484"/>
      <c r="N20" s="485">
        <f t="shared" si="0"/>
        <v>0</v>
      </c>
      <c r="O20" s="486"/>
      <c r="P20" s="486"/>
      <c r="Q20" s="486"/>
      <c r="R20" s="104"/>
      <c r="S20" s="93"/>
      <c r="T20" s="94">
        <f>X2*R20</f>
        <v>0</v>
      </c>
      <c r="U20" s="109">
        <f>(X2*R20)/AA20</f>
        <v>0</v>
      </c>
      <c r="V20" s="96"/>
      <c r="W20" s="97">
        <v>0</v>
      </c>
      <c r="X20" s="94">
        <f t="shared" si="3"/>
        <v>0</v>
      </c>
      <c r="Y20" s="94"/>
      <c r="Z20" s="99">
        <f t="shared" si="1"/>
        <v>0</v>
      </c>
      <c r="AA20" s="106">
        <v>1</v>
      </c>
      <c r="AB20" s="101"/>
      <c r="AC20" s="107">
        <f t="shared" si="2"/>
        <v>0</v>
      </c>
      <c r="AD20" s="103"/>
      <c r="AE20" s="103"/>
      <c r="AF20" s="103"/>
    </row>
    <row r="21" spans="1:32" ht="18.75" customHeight="1">
      <c r="A21" s="431"/>
      <c r="B21" s="432"/>
      <c r="C21" s="432"/>
      <c r="D21" s="433"/>
      <c r="E21" s="434"/>
      <c r="F21" s="435"/>
      <c r="G21" s="91"/>
      <c r="H21" s="432"/>
      <c r="I21" s="483"/>
      <c r="J21" s="483"/>
      <c r="K21" s="483"/>
      <c r="L21" s="483"/>
      <c r="M21" s="484"/>
      <c r="N21" s="485">
        <f t="shared" si="0"/>
        <v>0</v>
      </c>
      <c r="O21" s="486"/>
      <c r="P21" s="486"/>
      <c r="Q21" s="486"/>
      <c r="R21" s="104"/>
      <c r="S21" s="93"/>
      <c r="T21" s="94">
        <f>X2*R21</f>
        <v>0</v>
      </c>
      <c r="U21" s="109">
        <f>(X2*R21)/AA21</f>
        <v>0</v>
      </c>
      <c r="V21" s="96"/>
      <c r="W21" s="97">
        <v>0</v>
      </c>
      <c r="X21" s="94">
        <f t="shared" si="3"/>
        <v>0</v>
      </c>
      <c r="Y21" s="94"/>
      <c r="Z21" s="99">
        <f t="shared" si="1"/>
        <v>0</v>
      </c>
      <c r="AA21" s="106">
        <v>1</v>
      </c>
      <c r="AB21" s="101"/>
      <c r="AC21" s="107">
        <f t="shared" si="2"/>
        <v>0</v>
      </c>
      <c r="AD21" s="103"/>
      <c r="AE21" s="103"/>
      <c r="AF21" s="103"/>
    </row>
    <row r="22" spans="1:32" ht="18.75" customHeight="1">
      <c r="A22" s="431"/>
      <c r="B22" s="432"/>
      <c r="C22" s="432"/>
      <c r="D22" s="433"/>
      <c r="E22" s="434"/>
      <c r="F22" s="435"/>
      <c r="G22" s="91"/>
      <c r="H22" s="432"/>
      <c r="I22" s="483"/>
      <c r="J22" s="483"/>
      <c r="K22" s="483"/>
      <c r="L22" s="483"/>
      <c r="M22" s="484"/>
      <c r="N22" s="485">
        <f>A22</f>
        <v>0</v>
      </c>
      <c r="O22" s="486"/>
      <c r="P22" s="486"/>
      <c r="Q22" s="486"/>
      <c r="R22" s="104"/>
      <c r="S22" s="93"/>
      <c r="T22" s="94">
        <f>X2*R22</f>
        <v>0</v>
      </c>
      <c r="U22" s="95">
        <f>(X2*R22)/AA22</f>
        <v>0</v>
      </c>
      <c r="V22" s="96"/>
      <c r="W22" s="97">
        <v>0</v>
      </c>
      <c r="X22" s="94">
        <f>U22/1</f>
        <v>0</v>
      </c>
      <c r="Y22" s="94"/>
      <c r="Z22" s="99">
        <f>W22*X22</f>
        <v>0</v>
      </c>
      <c r="AA22" s="106">
        <v>1</v>
      </c>
      <c r="AB22" s="101"/>
      <c r="AC22" s="107">
        <f t="shared" si="2"/>
        <v>0</v>
      </c>
      <c r="AD22" s="103"/>
      <c r="AE22" s="103"/>
      <c r="AF22" s="103"/>
    </row>
    <row r="23" spans="1:32" ht="18.75" customHeight="1" thickBot="1">
      <c r="A23" s="487"/>
      <c r="B23" s="488"/>
      <c r="C23" s="488"/>
      <c r="D23" s="489"/>
      <c r="E23" s="434"/>
      <c r="F23" s="435"/>
      <c r="G23" s="110"/>
      <c r="H23" s="488"/>
      <c r="I23" s="490"/>
      <c r="J23" s="490"/>
      <c r="K23" s="490"/>
      <c r="L23" s="490"/>
      <c r="M23" s="491"/>
      <c r="N23" s="485">
        <f>A23</f>
        <v>0</v>
      </c>
      <c r="O23" s="486"/>
      <c r="P23" s="486"/>
      <c r="Q23" s="486"/>
      <c r="R23" s="104"/>
      <c r="S23" s="93"/>
      <c r="T23" s="94">
        <f>X2*R23</f>
        <v>0</v>
      </c>
      <c r="U23" s="109">
        <f>(X2*R23)/AA23</f>
        <v>0</v>
      </c>
      <c r="V23" s="96"/>
      <c r="W23" s="97">
        <v>0</v>
      </c>
      <c r="X23" s="94">
        <f>U23/1</f>
        <v>0</v>
      </c>
      <c r="Y23" s="94"/>
      <c r="Z23" s="99">
        <f>W23*X23</f>
        <v>0</v>
      </c>
      <c r="AA23" s="106">
        <v>1</v>
      </c>
      <c r="AB23" s="101"/>
      <c r="AC23" s="107">
        <f t="shared" si="2"/>
        <v>0</v>
      </c>
      <c r="AD23" s="103"/>
      <c r="AE23" s="103"/>
      <c r="AF23" s="103"/>
    </row>
    <row r="24" spans="1:32" ht="25.5" customHeight="1" thickBot="1">
      <c r="A24" s="111"/>
      <c r="B24" s="112"/>
      <c r="C24" s="112"/>
      <c r="D24" s="112"/>
      <c r="E24" s="112"/>
      <c r="F24" s="112"/>
      <c r="G24" s="112"/>
      <c r="H24" s="112"/>
      <c r="I24" s="112"/>
      <c r="J24" s="112"/>
      <c r="K24" s="113"/>
      <c r="L24" s="308"/>
      <c r="M24" s="308"/>
      <c r="N24" s="543" t="s">
        <v>47</v>
      </c>
      <c r="O24" s="544"/>
      <c r="P24" s="544"/>
      <c r="Q24" s="545"/>
      <c r="R24" s="546" t="s">
        <v>7</v>
      </c>
      <c r="S24" s="545"/>
      <c r="T24" s="545"/>
      <c r="U24" s="545"/>
      <c r="V24" s="545"/>
      <c r="W24" s="545"/>
      <c r="X24" s="545"/>
      <c r="Y24" s="545"/>
      <c r="Z24" s="545"/>
      <c r="AA24" s="545"/>
      <c r="AB24" s="545"/>
      <c r="AC24" s="115">
        <f>ROUNDUP(SUM(AC6:AC23),5)</f>
        <v>5.974</v>
      </c>
      <c r="AD24" s="103"/>
      <c r="AE24" s="103"/>
      <c r="AF24" s="103"/>
    </row>
    <row r="25" spans="1:32" ht="20.25" customHeight="1">
      <c r="A25" s="478" t="s">
        <v>45</v>
      </c>
      <c r="B25" s="479"/>
      <c r="C25" s="479"/>
      <c r="D25" s="479"/>
      <c r="E25" s="479"/>
      <c r="F25" s="479"/>
      <c r="G25" s="479"/>
      <c r="H25" s="479"/>
      <c r="I25" s="479"/>
      <c r="J25" s="479"/>
      <c r="K25" s="480"/>
      <c r="L25" s="310"/>
      <c r="M25" s="310"/>
      <c r="N25" s="524"/>
      <c r="O25" s="525"/>
      <c r="P25" s="525"/>
      <c r="Q25" s="525"/>
      <c r="R25" s="320"/>
      <c r="S25" s="320"/>
      <c r="T25" s="320"/>
      <c r="U25" s="320"/>
      <c r="V25" s="320"/>
      <c r="W25" s="79" t="s">
        <v>9</v>
      </c>
      <c r="X25" s="79"/>
      <c r="Y25" s="79"/>
      <c r="Z25" s="79"/>
      <c r="AA25" s="79"/>
      <c r="AB25" s="79"/>
      <c r="AC25" s="117">
        <f>ROUND(AC24*10/100,5)</f>
        <v>0.5974</v>
      </c>
      <c r="AD25" s="103"/>
      <c r="AE25" s="103"/>
      <c r="AF25" s="103"/>
    </row>
    <row r="26" spans="1:32" ht="22.5" customHeight="1" thickBot="1">
      <c r="A26" s="409" t="s">
        <v>42</v>
      </c>
      <c r="B26" s="481"/>
      <c r="C26" s="481"/>
      <c r="D26" s="481"/>
      <c r="E26" s="481"/>
      <c r="F26" s="305"/>
      <c r="G26" s="411" t="s">
        <v>46</v>
      </c>
      <c r="H26" s="411"/>
      <c r="I26" s="411" t="s">
        <v>419</v>
      </c>
      <c r="J26" s="481"/>
      <c r="K26" s="482"/>
      <c r="L26" s="305"/>
      <c r="M26" s="305"/>
      <c r="N26" s="119"/>
      <c r="O26" s="307"/>
      <c r="P26" s="507"/>
      <c r="Q26" s="507"/>
      <c r="R26" s="321"/>
      <c r="S26" s="321"/>
      <c r="T26" s="321"/>
      <c r="U26" s="321"/>
      <c r="V26" s="321"/>
      <c r="W26" s="78" t="s">
        <v>6</v>
      </c>
      <c r="X26" s="78"/>
      <c r="Y26" s="78"/>
      <c r="Z26" s="78"/>
      <c r="AA26" s="78"/>
      <c r="AB26" s="78"/>
      <c r="AC26" s="120">
        <f>AC24+AC25</f>
        <v>6.571400000000001</v>
      </c>
      <c r="AD26" s="103"/>
      <c r="AE26" s="103"/>
      <c r="AF26" s="103"/>
    </row>
    <row r="27" spans="18:32" ht="7.5" customHeight="1" thickBot="1">
      <c r="R27" s="399"/>
      <c r="S27" s="399"/>
      <c r="T27" s="300"/>
      <c r="U27" s="300"/>
      <c r="V27" s="300"/>
      <c r="W27" s="300"/>
      <c r="X27" s="300"/>
      <c r="Y27" s="300"/>
      <c r="Z27" s="300"/>
      <c r="AA27" s="309"/>
      <c r="AB27" s="309"/>
      <c r="AC27" s="309"/>
      <c r="AD27" s="70"/>
      <c r="AE27" s="70"/>
      <c r="AF27" s="70"/>
    </row>
    <row r="28" spans="1:32" ht="20.25" customHeight="1">
      <c r="A28" s="299" t="s">
        <v>35</v>
      </c>
      <c r="B28" s="393" t="s">
        <v>36</v>
      </c>
      <c r="C28" s="393"/>
      <c r="D28" s="63" t="s">
        <v>37</v>
      </c>
      <c r="E28" s="63" t="s">
        <v>38</v>
      </c>
      <c r="F28" s="63" t="s">
        <v>39</v>
      </c>
      <c r="G28" s="393" t="s">
        <v>40</v>
      </c>
      <c r="H28" s="393"/>
      <c r="I28" s="393" t="s">
        <v>41</v>
      </c>
      <c r="J28" s="393"/>
      <c r="K28" s="393" t="s">
        <v>52</v>
      </c>
      <c r="L28" s="393"/>
      <c r="M28" s="299" t="s">
        <v>135</v>
      </c>
      <c r="N28" s="542" t="s">
        <v>5</v>
      </c>
      <c r="O28" s="402"/>
      <c r="P28" s="402"/>
      <c r="Q28" s="308"/>
      <c r="R28" s="402"/>
      <c r="S28" s="403"/>
      <c r="T28" s="301"/>
      <c r="U28" s="301"/>
      <c r="V28" s="301"/>
      <c r="W28" s="391" t="s">
        <v>68</v>
      </c>
      <c r="X28" s="392"/>
      <c r="Y28" s="392"/>
      <c r="Z28" s="392"/>
      <c r="AA28" s="392"/>
      <c r="AB28" s="189"/>
      <c r="AC28" s="326">
        <f>AC26/X2</f>
        <v>0.06571400000000001</v>
      </c>
      <c r="AD28" s="122"/>
      <c r="AE28" s="122"/>
      <c r="AF28" s="122"/>
    </row>
    <row r="29" spans="1:32" ht="37.5" customHeight="1">
      <c r="A29" s="299"/>
      <c r="B29" s="393"/>
      <c r="C29" s="393"/>
      <c r="D29" s="63"/>
      <c r="E29" s="63"/>
      <c r="F29" s="63"/>
      <c r="G29" s="393"/>
      <c r="H29" s="393"/>
      <c r="I29" s="393"/>
      <c r="J29" s="393"/>
      <c r="K29" s="393"/>
      <c r="L29" s="393"/>
      <c r="M29" s="322">
        <f ca="1">NOW()</f>
        <v>41359.56477372685</v>
      </c>
      <c r="N29" s="91" t="s">
        <v>19</v>
      </c>
      <c r="O29" s="80" t="s">
        <v>20</v>
      </c>
      <c r="P29" s="80" t="s">
        <v>21</v>
      </c>
      <c r="Q29" s="80" t="s">
        <v>22</v>
      </c>
      <c r="R29" s="473" t="s">
        <v>8</v>
      </c>
      <c r="S29" s="474"/>
      <c r="T29" s="303"/>
      <c r="U29" s="303"/>
      <c r="V29" s="303"/>
      <c r="W29" s="323"/>
      <c r="X29" s="304" t="s">
        <v>69</v>
      </c>
      <c r="Y29" s="304"/>
      <c r="Z29" s="304"/>
      <c r="AA29" s="304" t="s">
        <v>23</v>
      </c>
      <c r="AB29" s="475" t="s">
        <v>24</v>
      </c>
      <c r="AC29" s="476"/>
      <c r="AD29" s="122"/>
      <c r="AE29" s="122"/>
      <c r="AF29" s="122"/>
    </row>
    <row r="30" spans="14:29" ht="19.5" customHeight="1" thickBot="1">
      <c r="N30" s="123">
        <v>1</v>
      </c>
      <c r="O30" s="124"/>
      <c r="P30" s="125">
        <f>AC26</f>
        <v>6.571400000000001</v>
      </c>
      <c r="Q30" s="126">
        <v>0</v>
      </c>
      <c r="R30" s="387">
        <f>P30+Q30</f>
        <v>6.571400000000001</v>
      </c>
      <c r="S30" s="388"/>
      <c r="T30" s="127"/>
      <c r="U30" s="128"/>
      <c r="V30" s="128"/>
      <c r="W30" s="119"/>
      <c r="X30" s="129">
        <f>AC28/AA30</f>
        <v>0.2190466666666667</v>
      </c>
      <c r="Y30" s="129"/>
      <c r="Z30" s="129"/>
      <c r="AA30" s="130">
        <v>0.3</v>
      </c>
      <c r="AB30" s="389">
        <f ca="1">NOW()</f>
        <v>41359.56477372685</v>
      </c>
      <c r="AC30" s="39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Menu List'!A1" display="BACK TO THE MENU LIST"/>
  </hyperlinks>
  <printOptions/>
  <pageMargins left="0.7" right="0.7" top="0.75" bottom="0.75" header="0.3" footer="0.3"/>
  <pageSetup horizontalDpi="600" verticalDpi="600" orientation="landscape" scale="81"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27.42187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139</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147</v>
      </c>
      <c r="D2" s="469"/>
      <c r="E2" s="469"/>
      <c r="F2" s="469"/>
      <c r="G2" s="469"/>
      <c r="H2" s="214" t="s">
        <v>55</v>
      </c>
      <c r="I2" s="151">
        <v>100</v>
      </c>
      <c r="J2" s="214" t="s">
        <v>48</v>
      </c>
      <c r="K2" s="152" t="s">
        <v>63</v>
      </c>
      <c r="L2" s="152"/>
      <c r="M2" s="149"/>
      <c r="N2" s="508" t="s">
        <v>17</v>
      </c>
      <c r="O2" s="508"/>
      <c r="P2" s="471" t="str">
        <f>C2</f>
        <v>Mini Portobello Mushroom Slider</v>
      </c>
      <c r="Q2" s="471"/>
      <c r="R2" s="471"/>
      <c r="S2" s="471"/>
      <c r="T2" s="472"/>
      <c r="U2" s="77"/>
      <c r="V2" s="77"/>
      <c r="W2" s="214" t="s">
        <v>55</v>
      </c>
      <c r="X2" s="78">
        <f>I2</f>
        <v>100</v>
      </c>
      <c r="Y2" s="79"/>
      <c r="Z2" s="80" t="s">
        <v>53</v>
      </c>
      <c r="AA2" s="518" t="str">
        <f>K2</f>
        <v>1 each</v>
      </c>
      <c r="AB2" s="398"/>
      <c r="AC2" s="398"/>
      <c r="AD2" s="84"/>
      <c r="AE2" s="84"/>
      <c r="AF2" s="84"/>
      <c r="AG2" s="83"/>
      <c r="AH2" s="83"/>
    </row>
    <row r="3" spans="1:34" ht="11.25" customHeight="1">
      <c r="A3" s="212"/>
      <c r="B3" s="230"/>
      <c r="C3" s="519"/>
      <c r="D3" s="520"/>
      <c r="E3" s="520"/>
      <c r="F3" s="520"/>
      <c r="G3" s="520"/>
      <c r="H3" s="231"/>
      <c r="I3" s="219"/>
      <c r="J3" s="214"/>
      <c r="K3" s="81"/>
      <c r="L3" s="85"/>
      <c r="M3" s="86"/>
      <c r="N3" s="214"/>
      <c r="O3" s="214"/>
      <c r="P3" s="522"/>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420</v>
      </c>
      <c r="B6" s="444"/>
      <c r="C6" s="444"/>
      <c r="D6" s="445"/>
      <c r="E6" s="446" t="s">
        <v>318</v>
      </c>
      <c r="F6" s="447"/>
      <c r="G6" s="91"/>
      <c r="H6" s="448" t="s">
        <v>460</v>
      </c>
      <c r="I6" s="557"/>
      <c r="J6" s="557"/>
      <c r="K6" s="557"/>
      <c r="L6" s="557"/>
      <c r="M6" s="558"/>
      <c r="N6" s="429" t="str">
        <f aca="true" t="shared" si="0" ref="N6:N21">A6</f>
        <v>Baby Portabella Mushrooms</v>
      </c>
      <c r="O6" s="430"/>
      <c r="P6" s="430"/>
      <c r="Q6" s="430"/>
      <c r="R6" s="232">
        <v>1</v>
      </c>
      <c r="S6" s="161" t="s">
        <v>249</v>
      </c>
      <c r="T6" s="162">
        <f>R6*X2</f>
        <v>100</v>
      </c>
      <c r="U6" s="172">
        <f>(X2*R6)/AA6</f>
        <v>100</v>
      </c>
      <c r="V6" s="164" t="s">
        <v>165</v>
      </c>
      <c r="W6" s="165">
        <v>14.03</v>
      </c>
      <c r="X6" s="166">
        <f>U6/1</f>
        <v>100</v>
      </c>
      <c r="Y6" s="166" t="s">
        <v>66</v>
      </c>
      <c r="Z6" s="167">
        <f>(W6/5/8)*X6</f>
        <v>35.075</v>
      </c>
      <c r="AA6" s="168">
        <v>1</v>
      </c>
      <c r="AB6" s="169">
        <f>Z6/X2</f>
        <v>0.35075</v>
      </c>
      <c r="AC6" s="170">
        <f>X2*AB6</f>
        <v>35.075</v>
      </c>
      <c r="AD6" s="103"/>
      <c r="AE6" s="103"/>
      <c r="AF6" s="103"/>
    </row>
    <row r="7" spans="1:32" ht="18.75" customHeight="1">
      <c r="A7" s="431" t="s">
        <v>421</v>
      </c>
      <c r="B7" s="432"/>
      <c r="C7" s="432"/>
      <c r="D7" s="433"/>
      <c r="E7" s="436" t="s">
        <v>58</v>
      </c>
      <c r="F7" s="435"/>
      <c r="G7" s="91">
        <v>1</v>
      </c>
      <c r="H7" s="432" t="s">
        <v>462</v>
      </c>
      <c r="I7" s="483"/>
      <c r="J7" s="483"/>
      <c r="K7" s="483"/>
      <c r="L7" s="483"/>
      <c r="M7" s="484"/>
      <c r="N7" s="429" t="str">
        <f t="shared" si="0"/>
        <v>Olive Oil, extra-virgin</v>
      </c>
      <c r="O7" s="430"/>
      <c r="P7" s="430"/>
      <c r="Q7" s="430"/>
      <c r="R7" s="232">
        <v>0.02</v>
      </c>
      <c r="S7" s="161" t="s">
        <v>67</v>
      </c>
      <c r="T7" s="176">
        <f>X2*R7</f>
        <v>2</v>
      </c>
      <c r="U7" s="172">
        <f>(X2*R7)/AA7</f>
        <v>2</v>
      </c>
      <c r="V7" s="164" t="s">
        <v>480</v>
      </c>
      <c r="W7" s="165">
        <v>41.2</v>
      </c>
      <c r="X7" s="166">
        <f>U7*8/1</f>
        <v>16</v>
      </c>
      <c r="Y7" s="166" t="s">
        <v>106</v>
      </c>
      <c r="Z7" s="167">
        <f>(W7/6/33.8)*X7</f>
        <v>3.2504930966469434</v>
      </c>
      <c r="AA7" s="168">
        <v>1</v>
      </c>
      <c r="AB7" s="169">
        <f>Z7/X2</f>
        <v>0.032504930966469434</v>
      </c>
      <c r="AC7" s="170">
        <f>X2*AB7</f>
        <v>3.2504930966469434</v>
      </c>
      <c r="AD7" s="103"/>
      <c r="AE7" s="103"/>
      <c r="AF7" s="103"/>
    </row>
    <row r="8" spans="1:32" ht="18.75" customHeight="1">
      <c r="A8" s="431" t="s">
        <v>193</v>
      </c>
      <c r="B8" s="432"/>
      <c r="C8" s="432"/>
      <c r="D8" s="433"/>
      <c r="E8" s="434" t="s">
        <v>58</v>
      </c>
      <c r="F8" s="435"/>
      <c r="G8" s="91">
        <v>2</v>
      </c>
      <c r="H8" s="432" t="s">
        <v>463</v>
      </c>
      <c r="I8" s="483"/>
      <c r="J8" s="483"/>
      <c r="K8" s="483"/>
      <c r="L8" s="483"/>
      <c r="M8" s="484"/>
      <c r="N8" s="429" t="str">
        <f>A8</f>
        <v>Balsamic Vinegar</v>
      </c>
      <c r="O8" s="430"/>
      <c r="P8" s="430"/>
      <c r="Q8" s="430"/>
      <c r="R8" s="79">
        <v>0.02</v>
      </c>
      <c r="S8" s="161" t="s">
        <v>67</v>
      </c>
      <c r="T8" s="162">
        <f>X2*R8</f>
        <v>2</v>
      </c>
      <c r="U8" s="172">
        <f>(X2*R8)/AA8</f>
        <v>2</v>
      </c>
      <c r="V8" s="164" t="s">
        <v>481</v>
      </c>
      <c r="W8" s="165">
        <v>23.82</v>
      </c>
      <c r="X8" s="166">
        <f>U8*8/1</f>
        <v>16</v>
      </c>
      <c r="Y8" s="166" t="s">
        <v>106</v>
      </c>
      <c r="Z8" s="167">
        <f>(W8/2/169)*X8</f>
        <v>1.1275739644970415</v>
      </c>
      <c r="AA8" s="168">
        <v>1</v>
      </c>
      <c r="AB8" s="169">
        <f>Z8/X2</f>
        <v>0.011275739644970416</v>
      </c>
      <c r="AC8" s="170">
        <f>X2*AB8</f>
        <v>1.1275739644970415</v>
      </c>
      <c r="AD8" s="103"/>
      <c r="AE8" s="103"/>
      <c r="AF8" s="103"/>
    </row>
    <row r="9" spans="1:32" ht="21" customHeight="1">
      <c r="A9" s="431" t="s">
        <v>99</v>
      </c>
      <c r="B9" s="432"/>
      <c r="C9" s="432"/>
      <c r="D9" s="433"/>
      <c r="E9" s="436" t="s">
        <v>384</v>
      </c>
      <c r="F9" s="435"/>
      <c r="G9" s="91">
        <v>3</v>
      </c>
      <c r="H9" s="432" t="s">
        <v>461</v>
      </c>
      <c r="I9" s="483"/>
      <c r="J9" s="483"/>
      <c r="K9" s="483"/>
      <c r="L9" s="483"/>
      <c r="M9" s="484"/>
      <c r="N9" s="429" t="str">
        <f t="shared" si="0"/>
        <v>Salt</v>
      </c>
      <c r="O9" s="430"/>
      <c r="P9" s="430"/>
      <c r="Q9" s="430"/>
      <c r="R9" s="79">
        <v>0.01</v>
      </c>
      <c r="S9" s="161" t="s">
        <v>215</v>
      </c>
      <c r="T9" s="162">
        <f>X2*R9</f>
        <v>1</v>
      </c>
      <c r="U9" s="172">
        <f>(X2*R9)/AA9</f>
        <v>1</v>
      </c>
      <c r="V9" s="164"/>
      <c r="W9" s="165"/>
      <c r="X9" s="166">
        <f>(U9*16)/10.5</f>
        <v>1.5238095238095237</v>
      </c>
      <c r="Y9" s="166"/>
      <c r="Z9" s="167">
        <f aca="true" t="shared" si="1" ref="Z9:Z21">W9*X9</f>
        <v>0</v>
      </c>
      <c r="AA9" s="168">
        <v>1</v>
      </c>
      <c r="AB9" s="169">
        <f>Z9/X2</f>
        <v>0</v>
      </c>
      <c r="AC9" s="170">
        <f>X2*AB9</f>
        <v>0</v>
      </c>
      <c r="AD9" s="103"/>
      <c r="AE9" s="103"/>
      <c r="AF9" s="103"/>
    </row>
    <row r="10" spans="1:32" ht="18.75" customHeight="1">
      <c r="A10" s="431" t="s">
        <v>422</v>
      </c>
      <c r="B10" s="432"/>
      <c r="C10" s="432"/>
      <c r="D10" s="433"/>
      <c r="E10" s="436" t="s">
        <v>474</v>
      </c>
      <c r="F10" s="435"/>
      <c r="G10" s="91">
        <v>4</v>
      </c>
      <c r="H10" s="432" t="s">
        <v>464</v>
      </c>
      <c r="I10" s="494"/>
      <c r="J10" s="494"/>
      <c r="K10" s="494"/>
      <c r="L10" s="494"/>
      <c r="M10" s="495"/>
      <c r="N10" s="429" t="str">
        <f t="shared" si="0"/>
        <v>Black Pepper, ground</v>
      </c>
      <c r="O10" s="430"/>
      <c r="P10" s="430"/>
      <c r="Q10" s="430"/>
      <c r="R10" s="174">
        <v>0.01</v>
      </c>
      <c r="S10" s="161" t="s">
        <v>237</v>
      </c>
      <c r="T10" s="162">
        <f>X2*R10</f>
        <v>1</v>
      </c>
      <c r="U10" s="172">
        <f>(X2*R10)/AA10</f>
        <v>1</v>
      </c>
      <c r="V10" s="164"/>
      <c r="W10" s="165"/>
      <c r="X10" s="166">
        <f aca="true" t="shared" si="2" ref="X10:X15">U10/1</f>
        <v>1</v>
      </c>
      <c r="Y10" s="166"/>
      <c r="Z10" s="167">
        <f t="shared" si="1"/>
        <v>0</v>
      </c>
      <c r="AA10" s="168">
        <v>1</v>
      </c>
      <c r="AB10" s="169">
        <f>Z10/X2</f>
        <v>0</v>
      </c>
      <c r="AC10" s="170">
        <f>X2*AB10</f>
        <v>0</v>
      </c>
      <c r="AD10" s="103"/>
      <c r="AE10" s="103"/>
      <c r="AF10" s="103"/>
    </row>
    <row r="11" spans="1:32" ht="18.75" customHeight="1">
      <c r="A11" s="431" t="s">
        <v>423</v>
      </c>
      <c r="B11" s="432"/>
      <c r="C11" s="432"/>
      <c r="D11" s="433"/>
      <c r="E11" s="436" t="s">
        <v>318</v>
      </c>
      <c r="F11" s="435"/>
      <c r="G11" s="91"/>
      <c r="H11" s="432"/>
      <c r="I11" s="494"/>
      <c r="J11" s="494"/>
      <c r="K11" s="494"/>
      <c r="L11" s="494"/>
      <c r="M11" s="495"/>
      <c r="N11" s="438" t="str">
        <f t="shared" si="0"/>
        <v>Small Dinner Roll or mini hamburger buns</v>
      </c>
      <c r="O11" s="439"/>
      <c r="P11" s="439"/>
      <c r="Q11" s="439"/>
      <c r="R11" s="79">
        <v>1</v>
      </c>
      <c r="S11" s="161" t="s">
        <v>249</v>
      </c>
      <c r="T11" s="162">
        <f>X2*R11</f>
        <v>100</v>
      </c>
      <c r="U11" s="172">
        <f>(X2*R11)/AA11</f>
        <v>100</v>
      </c>
      <c r="V11" s="233" t="s">
        <v>482</v>
      </c>
      <c r="W11" s="165">
        <v>27.57</v>
      </c>
      <c r="X11" s="166">
        <f>U11/100</f>
        <v>1</v>
      </c>
      <c r="Y11" s="166" t="s">
        <v>483</v>
      </c>
      <c r="Z11" s="167">
        <f>(W11)*X11</f>
        <v>27.57</v>
      </c>
      <c r="AA11" s="168">
        <v>1</v>
      </c>
      <c r="AB11" s="169">
        <f>Z11/X2</f>
        <v>0.2757</v>
      </c>
      <c r="AC11" s="170">
        <f>X2*AB11</f>
        <v>27.57</v>
      </c>
      <c r="AD11" s="103"/>
      <c r="AE11" s="103"/>
      <c r="AF11" s="103"/>
    </row>
    <row r="12" spans="1:32" ht="18.75" customHeight="1">
      <c r="A12" s="431" t="s">
        <v>424</v>
      </c>
      <c r="B12" s="432"/>
      <c r="C12" s="432"/>
      <c r="D12" s="433"/>
      <c r="E12" s="436" t="s">
        <v>475</v>
      </c>
      <c r="F12" s="435"/>
      <c r="G12" s="91">
        <v>5</v>
      </c>
      <c r="H12" s="432" t="s">
        <v>465</v>
      </c>
      <c r="I12" s="494"/>
      <c r="J12" s="494"/>
      <c r="K12" s="494"/>
      <c r="L12" s="494"/>
      <c r="M12" s="495"/>
      <c r="N12" s="431" t="str">
        <f>A12</f>
        <v>Jack Cheese, sliced</v>
      </c>
      <c r="O12" s="437"/>
      <c r="P12" s="437"/>
      <c r="Q12" s="437"/>
      <c r="R12" s="232">
        <v>0.5</v>
      </c>
      <c r="S12" s="161" t="s">
        <v>407</v>
      </c>
      <c r="T12" s="162">
        <f>X2*R12</f>
        <v>50</v>
      </c>
      <c r="U12" s="172">
        <f>(X2*R12)/AA12</f>
        <v>50</v>
      </c>
      <c r="V12" s="234" t="s">
        <v>269</v>
      </c>
      <c r="W12" s="165">
        <v>28.26</v>
      </c>
      <c r="X12" s="166">
        <f>U12/16</f>
        <v>3.125</v>
      </c>
      <c r="Y12" s="166"/>
      <c r="Z12" s="167">
        <f>(W12/18.9)*X12</f>
        <v>4.672619047619048</v>
      </c>
      <c r="AA12" s="168">
        <v>1</v>
      </c>
      <c r="AB12" s="169">
        <f>Z12/X2</f>
        <v>0.046726190476190484</v>
      </c>
      <c r="AC12" s="170">
        <f>X2*AB12</f>
        <v>4.672619047619048</v>
      </c>
      <c r="AD12" s="103"/>
      <c r="AE12" s="103"/>
      <c r="AF12" s="103"/>
    </row>
    <row r="13" spans="1:32" ht="18.75" customHeight="1">
      <c r="A13" s="431" t="s">
        <v>425</v>
      </c>
      <c r="B13" s="432"/>
      <c r="C13" s="432"/>
      <c r="D13" s="433"/>
      <c r="E13" s="434" t="s">
        <v>479</v>
      </c>
      <c r="F13" s="435"/>
      <c r="G13" s="91">
        <v>6</v>
      </c>
      <c r="H13" s="432" t="s">
        <v>466</v>
      </c>
      <c r="I13" s="483"/>
      <c r="J13" s="483"/>
      <c r="K13" s="483"/>
      <c r="L13" s="483"/>
      <c r="M13" s="484"/>
      <c r="N13" s="429" t="str">
        <f t="shared" si="0"/>
        <v>Tomatoes, Roma, sliced thickly</v>
      </c>
      <c r="O13" s="430"/>
      <c r="P13" s="430"/>
      <c r="Q13" s="430"/>
      <c r="R13" s="79">
        <v>0.017</v>
      </c>
      <c r="S13" s="161" t="s">
        <v>80</v>
      </c>
      <c r="T13" s="162">
        <f>X2*R13</f>
        <v>1.7000000000000002</v>
      </c>
      <c r="U13" s="172">
        <f>(X2*R13)/AA13</f>
        <v>1.8681318681318682</v>
      </c>
      <c r="V13" s="164" t="s">
        <v>163</v>
      </c>
      <c r="W13" s="165">
        <v>24.47</v>
      </c>
      <c r="X13" s="166">
        <f t="shared" si="2"/>
        <v>1.8681318681318682</v>
      </c>
      <c r="Y13" s="166" t="s">
        <v>80</v>
      </c>
      <c r="Z13" s="167">
        <f>(W13/25)*X13</f>
        <v>1.8285274725274725</v>
      </c>
      <c r="AA13" s="168">
        <v>0.91</v>
      </c>
      <c r="AB13" s="169">
        <f>Z13/X2</f>
        <v>0.018285274725274726</v>
      </c>
      <c r="AC13" s="170">
        <f>X2*AB13</f>
        <v>1.8285274725274727</v>
      </c>
      <c r="AD13" s="103"/>
      <c r="AE13" s="103"/>
      <c r="AF13" s="103"/>
    </row>
    <row r="14" spans="1:32" ht="18.75" customHeight="1">
      <c r="A14" s="431" t="s">
        <v>473</v>
      </c>
      <c r="B14" s="432"/>
      <c r="C14" s="432"/>
      <c r="D14" s="433"/>
      <c r="E14" s="434" t="s">
        <v>381</v>
      </c>
      <c r="F14" s="435"/>
      <c r="G14" s="91">
        <v>7</v>
      </c>
      <c r="H14" s="432" t="s">
        <v>467</v>
      </c>
      <c r="I14" s="483"/>
      <c r="J14" s="483"/>
      <c r="K14" s="483"/>
      <c r="L14" s="483"/>
      <c r="M14" s="484"/>
      <c r="N14" s="429" t="str">
        <f t="shared" si="0"/>
        <v>Garlic, fresh, minced</v>
      </c>
      <c r="O14" s="430"/>
      <c r="P14" s="430"/>
      <c r="Q14" s="430"/>
      <c r="R14" s="79">
        <v>0.02</v>
      </c>
      <c r="S14" s="161" t="s">
        <v>215</v>
      </c>
      <c r="T14" s="162">
        <f>X2*R14</f>
        <v>2</v>
      </c>
      <c r="U14" s="172">
        <f>(X2*R14)/AA14</f>
        <v>2</v>
      </c>
      <c r="V14" s="164" t="s">
        <v>484</v>
      </c>
      <c r="W14" s="165">
        <v>27.71</v>
      </c>
      <c r="X14" s="166">
        <f>U14/2</f>
        <v>1</v>
      </c>
      <c r="Y14" s="166" t="s">
        <v>106</v>
      </c>
      <c r="Z14" s="167">
        <f>(W14/6/32)*X14</f>
        <v>0.14432291666666666</v>
      </c>
      <c r="AA14" s="168">
        <v>1</v>
      </c>
      <c r="AB14" s="169">
        <f>Z14/X2</f>
        <v>0.0014432291666666667</v>
      </c>
      <c r="AC14" s="170">
        <f>X2*AB14</f>
        <v>0.14432291666666666</v>
      </c>
      <c r="AD14" s="103"/>
      <c r="AE14" s="103"/>
      <c r="AF14" s="103"/>
    </row>
    <row r="15" spans="1:32" ht="18.75" customHeight="1">
      <c r="A15" s="431"/>
      <c r="B15" s="432"/>
      <c r="C15" s="432"/>
      <c r="D15" s="433"/>
      <c r="E15" s="434"/>
      <c r="F15" s="435"/>
      <c r="G15" s="91">
        <v>8</v>
      </c>
      <c r="H15" s="432" t="s">
        <v>468</v>
      </c>
      <c r="I15" s="483"/>
      <c r="J15" s="483"/>
      <c r="K15" s="483"/>
      <c r="L15" s="483"/>
      <c r="M15" s="484"/>
      <c r="N15" s="429">
        <f t="shared" si="0"/>
        <v>0</v>
      </c>
      <c r="O15" s="430"/>
      <c r="P15" s="430"/>
      <c r="Q15" s="430"/>
      <c r="R15" s="79"/>
      <c r="S15" s="161"/>
      <c r="T15" s="162">
        <f>X2*R15</f>
        <v>0</v>
      </c>
      <c r="U15" s="172">
        <f>(X2*R15)/AA15</f>
        <v>0</v>
      </c>
      <c r="V15" s="164"/>
      <c r="W15" s="165"/>
      <c r="X15" s="166">
        <f t="shared" si="2"/>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v>9</v>
      </c>
      <c r="H16" s="432" t="s">
        <v>469</v>
      </c>
      <c r="I16" s="483"/>
      <c r="J16" s="483"/>
      <c r="K16" s="483"/>
      <c r="L16" s="483"/>
      <c r="M16" s="484"/>
      <c r="N16" s="429">
        <f t="shared" si="0"/>
        <v>0</v>
      </c>
      <c r="O16" s="430"/>
      <c r="P16" s="430"/>
      <c r="Q16" s="430"/>
      <c r="R16" s="79"/>
      <c r="S16" s="161"/>
      <c r="T16" s="162">
        <f>X2*R16</f>
        <v>0</v>
      </c>
      <c r="U16" s="172">
        <f>(X2*R16)/AA16</f>
        <v>0</v>
      </c>
      <c r="V16" s="164"/>
      <c r="W16" s="165"/>
      <c r="X16" s="166">
        <f>U16/1</f>
        <v>0</v>
      </c>
      <c r="Y16" s="166"/>
      <c r="Z16" s="167">
        <f t="shared" si="1"/>
        <v>0</v>
      </c>
      <c r="AA16" s="168">
        <v>1</v>
      </c>
      <c r="AB16" s="169">
        <f>Z16/X2</f>
        <v>0</v>
      </c>
      <c r="AC16" s="170">
        <f>X2*AB16</f>
        <v>0</v>
      </c>
      <c r="AD16" s="103"/>
      <c r="AE16" s="103"/>
      <c r="AF16" s="103"/>
    </row>
    <row r="17" spans="1:32" ht="18.75" customHeight="1">
      <c r="A17" s="431"/>
      <c r="B17" s="432"/>
      <c r="C17" s="432"/>
      <c r="D17" s="433"/>
      <c r="E17" s="434"/>
      <c r="F17" s="435"/>
      <c r="G17" s="91">
        <v>10</v>
      </c>
      <c r="H17" s="432" t="s">
        <v>470</v>
      </c>
      <c r="I17" s="483"/>
      <c r="J17" s="483"/>
      <c r="K17" s="483"/>
      <c r="L17" s="483"/>
      <c r="M17" s="484"/>
      <c r="N17" s="429">
        <f t="shared" si="0"/>
        <v>0</v>
      </c>
      <c r="O17" s="430"/>
      <c r="P17" s="430"/>
      <c r="Q17" s="430"/>
      <c r="R17" s="79"/>
      <c r="S17" s="161"/>
      <c r="T17" s="162">
        <f>X2*R17</f>
        <v>0</v>
      </c>
      <c r="U17" s="172">
        <f>(X2*R17)/AA17</f>
        <v>0</v>
      </c>
      <c r="V17" s="164"/>
      <c r="W17" s="165"/>
      <c r="X17" s="166">
        <f>U17/1</f>
        <v>0</v>
      </c>
      <c r="Y17" s="166"/>
      <c r="Z17" s="167">
        <f t="shared" si="1"/>
        <v>0</v>
      </c>
      <c r="AA17" s="168">
        <v>1</v>
      </c>
      <c r="AB17" s="169">
        <f>Z17/X2</f>
        <v>0</v>
      </c>
      <c r="AC17" s="170">
        <f>X2*AB17</f>
        <v>0</v>
      </c>
      <c r="AD17" s="103"/>
      <c r="AE17" s="103"/>
      <c r="AF17" s="103"/>
    </row>
    <row r="18" spans="1:32" ht="18.75" customHeight="1">
      <c r="A18" s="431" t="s">
        <v>477</v>
      </c>
      <c r="B18" s="432"/>
      <c r="C18" s="432"/>
      <c r="D18" s="433"/>
      <c r="E18" s="434"/>
      <c r="F18" s="435"/>
      <c r="G18" s="91">
        <v>11</v>
      </c>
      <c r="H18" s="432" t="s">
        <v>471</v>
      </c>
      <c r="I18" s="483"/>
      <c r="J18" s="483"/>
      <c r="K18" s="483"/>
      <c r="L18" s="483"/>
      <c r="M18" s="484"/>
      <c r="N18" s="429" t="str">
        <f>A18</f>
        <v>Baby Portabella mushroom:  8 mushrooms / lb</v>
      </c>
      <c r="O18" s="430"/>
      <c r="P18" s="430"/>
      <c r="Q18" s="430"/>
      <c r="R18" s="79"/>
      <c r="S18" s="161"/>
      <c r="T18" s="162">
        <f>X2*R18</f>
        <v>0</v>
      </c>
      <c r="U18" s="177">
        <f>(X2*R18)/AA18</f>
        <v>0</v>
      </c>
      <c r="V18" s="164"/>
      <c r="W18" s="165"/>
      <c r="X18" s="166">
        <f>U18/20</f>
        <v>0</v>
      </c>
      <c r="Y18" s="166"/>
      <c r="Z18" s="167">
        <f t="shared" si="1"/>
        <v>0</v>
      </c>
      <c r="AA18" s="168">
        <v>1</v>
      </c>
      <c r="AB18" s="169">
        <f>Z18/X2</f>
        <v>0</v>
      </c>
      <c r="AC18" s="170">
        <f>X2*AB18</f>
        <v>0</v>
      </c>
      <c r="AD18" s="103"/>
      <c r="AE18" s="103"/>
      <c r="AF18" s="103"/>
    </row>
    <row r="19" spans="1:32" ht="18.75" customHeight="1">
      <c r="A19" s="431" t="s">
        <v>476</v>
      </c>
      <c r="B19" s="432"/>
      <c r="C19" s="432"/>
      <c r="D19" s="433"/>
      <c r="E19" s="434"/>
      <c r="F19" s="435"/>
      <c r="G19" s="91">
        <v>12</v>
      </c>
      <c r="H19" s="432" t="s">
        <v>472</v>
      </c>
      <c r="I19" s="483"/>
      <c r="J19" s="483"/>
      <c r="K19" s="483"/>
      <c r="L19" s="483"/>
      <c r="M19" s="484"/>
      <c r="N19" s="429" t="str">
        <f>A19</f>
        <v>Jack Cheese:  cut in half for use. </v>
      </c>
      <c r="O19" s="430"/>
      <c r="P19" s="430"/>
      <c r="Q19" s="430"/>
      <c r="R19" s="79"/>
      <c r="S19" s="161"/>
      <c r="T19" s="162">
        <f>X2*R19</f>
        <v>0</v>
      </c>
      <c r="U19" s="177">
        <f>(X2*R19)/AA19</f>
        <v>0</v>
      </c>
      <c r="V19" s="164"/>
      <c r="W19" s="165"/>
      <c r="X19" s="166">
        <f>U19/50</f>
        <v>0</v>
      </c>
      <c r="Y19" s="166"/>
      <c r="Z19" s="167">
        <f t="shared" si="1"/>
        <v>0</v>
      </c>
      <c r="AA19" s="168">
        <v>1</v>
      </c>
      <c r="AB19" s="169">
        <f>Z19/X2</f>
        <v>0</v>
      </c>
      <c r="AC19" s="170">
        <f>X2*AB19</f>
        <v>0</v>
      </c>
      <c r="AD19" s="103"/>
      <c r="AE19" s="103"/>
      <c r="AF19" s="103"/>
    </row>
    <row r="20" spans="1:32" ht="18.75" customHeight="1">
      <c r="A20" s="431" t="s">
        <v>478</v>
      </c>
      <c r="B20" s="432"/>
      <c r="C20" s="432"/>
      <c r="D20" s="433"/>
      <c r="E20" s="434"/>
      <c r="F20" s="435"/>
      <c r="G20" s="91"/>
      <c r="H20" s="432"/>
      <c r="I20" s="483"/>
      <c r="J20" s="483"/>
      <c r="K20" s="483"/>
      <c r="L20" s="483"/>
      <c r="M20" s="484"/>
      <c r="N20" s="429" t="str">
        <f t="shared" si="0"/>
        <v>Tomatoes:  10 slices per tomato</v>
      </c>
      <c r="O20" s="430"/>
      <c r="P20" s="430"/>
      <c r="Q20" s="430"/>
      <c r="R20" s="79"/>
      <c r="S20" s="161"/>
      <c r="T20" s="162">
        <f>X2*R20</f>
        <v>0</v>
      </c>
      <c r="U20" s="177">
        <f>(X2*R20)/AA20</f>
        <v>0</v>
      </c>
      <c r="V20" s="164"/>
      <c r="W20" s="165"/>
      <c r="X20" s="166">
        <f>U20/1</f>
        <v>0</v>
      </c>
      <c r="Y20" s="166"/>
      <c r="Z20" s="167">
        <f t="shared" si="1"/>
        <v>0</v>
      </c>
      <c r="AA20" s="168">
        <v>1</v>
      </c>
      <c r="AB20" s="169">
        <f>Z20/X2</f>
        <v>0</v>
      </c>
      <c r="AC20" s="170">
        <f>X2*AB20</f>
        <v>0</v>
      </c>
      <c r="AD20" s="103"/>
      <c r="AE20" s="103"/>
      <c r="AF20" s="103"/>
    </row>
    <row r="21" spans="1:32" ht="25.5" customHeight="1">
      <c r="A21" s="431"/>
      <c r="B21" s="432"/>
      <c r="C21" s="432"/>
      <c r="D21" s="433"/>
      <c r="E21" s="434"/>
      <c r="F21" s="435"/>
      <c r="G21" s="91"/>
      <c r="H21" s="432"/>
      <c r="I21" s="483"/>
      <c r="J21" s="483"/>
      <c r="K21" s="483"/>
      <c r="L21" s="483"/>
      <c r="M21" s="484"/>
      <c r="N21" s="429">
        <f t="shared" si="0"/>
        <v>0</v>
      </c>
      <c r="O21" s="430"/>
      <c r="P21" s="430"/>
      <c r="Q21" s="430"/>
      <c r="R21" s="79"/>
      <c r="S21" s="161"/>
      <c r="T21" s="162">
        <f>X2*R21</f>
        <v>0</v>
      </c>
      <c r="U21" s="177">
        <f>(X2*R21)/AA21</f>
        <v>0</v>
      </c>
      <c r="V21" s="164"/>
      <c r="W21" s="165"/>
      <c r="X21" s="166">
        <f>U21/1</f>
        <v>0</v>
      </c>
      <c r="Y21" s="166"/>
      <c r="Z21" s="167">
        <f t="shared" si="1"/>
        <v>0</v>
      </c>
      <c r="AA21" s="168">
        <v>1</v>
      </c>
      <c r="AB21" s="169">
        <f>Z21/X2</f>
        <v>0</v>
      </c>
      <c r="AC21" s="170">
        <f>X2*AB21</f>
        <v>0</v>
      </c>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422" t="s">
        <v>47</v>
      </c>
      <c r="O23" s="423"/>
      <c r="P23" s="423"/>
      <c r="Q23" s="424"/>
      <c r="R23" s="425" t="s">
        <v>7</v>
      </c>
      <c r="S23" s="424"/>
      <c r="T23" s="424"/>
      <c r="U23" s="424"/>
      <c r="V23" s="424"/>
      <c r="W23" s="424"/>
      <c r="X23" s="424"/>
      <c r="Y23" s="424"/>
      <c r="Z23" s="424"/>
      <c r="AA23" s="424"/>
      <c r="AB23" s="424"/>
      <c r="AC23" s="115">
        <f>ROUNDUP(SUM(AC6:AC22),5)</f>
        <v>73.66854000000001</v>
      </c>
      <c r="AD23" s="103"/>
      <c r="AE23" s="103"/>
      <c r="AF23" s="103"/>
    </row>
    <row r="24" spans="1:32" ht="20.25" customHeight="1">
      <c r="A24" s="478" t="s">
        <v>45</v>
      </c>
      <c r="B24" s="479"/>
      <c r="C24" s="479"/>
      <c r="D24" s="479"/>
      <c r="E24" s="479"/>
      <c r="F24" s="479"/>
      <c r="G24" s="479"/>
      <c r="H24" s="479"/>
      <c r="I24" s="479"/>
      <c r="J24" s="479"/>
      <c r="K24" s="480"/>
      <c r="L24" s="116"/>
      <c r="M24" s="116"/>
      <c r="N24" s="524"/>
      <c r="O24" s="525"/>
      <c r="P24" s="525"/>
      <c r="Q24" s="525"/>
      <c r="R24" s="134"/>
      <c r="S24" s="134"/>
      <c r="T24" s="134"/>
      <c r="U24" s="134"/>
      <c r="V24" s="134"/>
      <c r="W24" s="135" t="s">
        <v>9</v>
      </c>
      <c r="X24" s="135"/>
      <c r="Y24" s="135"/>
      <c r="Z24" s="135"/>
      <c r="AA24" s="135"/>
      <c r="AB24" s="135"/>
      <c r="AC24" s="117">
        <f>ROUND(AC23*10/100,5)</f>
        <v>7.36685</v>
      </c>
      <c r="AD24" s="103"/>
      <c r="AE24" s="103"/>
      <c r="AF24" s="103"/>
    </row>
    <row r="25" spans="1:32" ht="30" customHeight="1" thickBot="1">
      <c r="A25" s="409" t="s">
        <v>42</v>
      </c>
      <c r="B25" s="481"/>
      <c r="C25" s="481"/>
      <c r="D25" s="481"/>
      <c r="E25" s="481"/>
      <c r="F25" s="218"/>
      <c r="G25" s="411" t="s">
        <v>46</v>
      </c>
      <c r="H25" s="411"/>
      <c r="I25" s="411"/>
      <c r="J25" s="481"/>
      <c r="K25" s="482"/>
      <c r="L25" s="218"/>
      <c r="M25" s="218"/>
      <c r="N25" s="119"/>
      <c r="O25" s="217"/>
      <c r="P25" s="507"/>
      <c r="Q25" s="507"/>
      <c r="R25" s="138"/>
      <c r="S25" s="138"/>
      <c r="T25" s="138"/>
      <c r="U25" s="138"/>
      <c r="V25" s="138"/>
      <c r="W25" s="139" t="s">
        <v>6</v>
      </c>
      <c r="X25" s="139"/>
      <c r="Y25" s="139"/>
      <c r="Z25" s="139"/>
      <c r="AA25" s="139"/>
      <c r="AB25" s="139"/>
      <c r="AC25" s="120">
        <f>AC23+AC24</f>
        <v>81.03539</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393" t="s">
        <v>40</v>
      </c>
      <c r="H27" s="393"/>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0.8103539000000001</v>
      </c>
      <c r="AD27" s="122"/>
      <c r="AE27" s="122"/>
      <c r="AF27" s="122"/>
    </row>
    <row r="28" spans="1:32" ht="37.5" customHeight="1">
      <c r="A28" s="22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81.03539</v>
      </c>
      <c r="Q29" s="126">
        <v>0</v>
      </c>
      <c r="R29" s="387">
        <f>P29+Q29</f>
        <v>81.03539</v>
      </c>
      <c r="S29" s="388"/>
      <c r="T29" s="127"/>
      <c r="U29" s="128"/>
      <c r="V29" s="128"/>
      <c r="W29" s="119"/>
      <c r="X29" s="129">
        <f>AC27/AA29</f>
        <v>2.701179666666667</v>
      </c>
      <c r="Y29" s="129"/>
      <c r="Z29" s="129"/>
      <c r="AA29" s="130">
        <v>0.3</v>
      </c>
      <c r="AB29" s="389">
        <f ca="1">NOW()</f>
        <v>41359.56477372685</v>
      </c>
      <c r="AC29" s="390"/>
    </row>
  </sheetData>
  <sheetProtection/>
  <mergeCells count="107">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9:M9"/>
    <mergeCell ref="N8:Q8"/>
    <mergeCell ref="A9:D9"/>
    <mergeCell ref="E9:F9"/>
    <mergeCell ref="N9:Q9"/>
    <mergeCell ref="H8:M8"/>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28.003906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151</v>
      </c>
      <c r="D2" s="469"/>
      <c r="E2" s="469"/>
      <c r="F2" s="469"/>
      <c r="G2" s="469"/>
      <c r="H2" s="214" t="s">
        <v>55</v>
      </c>
      <c r="I2" s="151">
        <v>100</v>
      </c>
      <c r="J2" s="214" t="s">
        <v>48</v>
      </c>
      <c r="K2" s="152" t="s">
        <v>356</v>
      </c>
      <c r="L2" s="152"/>
      <c r="M2" s="311"/>
      <c r="N2" s="508" t="s">
        <v>17</v>
      </c>
      <c r="O2" s="508"/>
      <c r="P2" s="471" t="str">
        <f>C2</f>
        <v>Seafood Seviche in Cucumber Cup</v>
      </c>
      <c r="Q2" s="471"/>
      <c r="R2" s="471"/>
      <c r="S2" s="471"/>
      <c r="T2" s="472"/>
      <c r="U2" s="77"/>
      <c r="V2" s="77"/>
      <c r="W2" s="214" t="s">
        <v>55</v>
      </c>
      <c r="X2" s="78">
        <f>I2</f>
        <v>100</v>
      </c>
      <c r="Y2" s="79"/>
      <c r="Z2" s="80" t="s">
        <v>53</v>
      </c>
      <c r="AA2" s="518" t="str">
        <f>K2</f>
        <v>1 cucumber cup per serving</v>
      </c>
      <c r="AB2" s="398"/>
      <c r="AC2" s="398"/>
      <c r="AD2" s="84"/>
      <c r="AE2" s="84"/>
      <c r="AF2" s="84"/>
      <c r="AG2" s="83"/>
      <c r="AH2" s="83"/>
    </row>
    <row r="3" spans="1:34" ht="11.25" customHeight="1">
      <c r="A3" s="212"/>
      <c r="B3" s="230"/>
      <c r="C3" s="519"/>
      <c r="D3" s="520"/>
      <c r="E3" s="520"/>
      <c r="F3" s="520"/>
      <c r="G3" s="520"/>
      <c r="H3" s="231"/>
      <c r="I3" s="289" t="s">
        <v>355</v>
      </c>
      <c r="J3" s="214"/>
      <c r="K3" s="81"/>
      <c r="L3" s="85"/>
      <c r="M3" s="86"/>
      <c r="N3" s="214"/>
      <c r="O3" s="214"/>
      <c r="P3" s="522">
        <f>C3</f>
        <v>0</v>
      </c>
      <c r="Q3" s="523"/>
      <c r="R3" s="523"/>
      <c r="S3" s="523"/>
      <c r="T3" s="523"/>
      <c r="U3" s="523"/>
      <c r="V3" s="523"/>
      <c r="W3" s="214"/>
      <c r="X3" s="79" t="str">
        <f>I3</f>
        <v>Cucumber cups</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519</v>
      </c>
      <c r="B6" s="444"/>
      <c r="C6" s="444"/>
      <c r="D6" s="445"/>
      <c r="E6" s="446" t="s">
        <v>329</v>
      </c>
      <c r="F6" s="447"/>
      <c r="G6" s="91">
        <v>1</v>
      </c>
      <c r="H6" s="444" t="s">
        <v>347</v>
      </c>
      <c r="I6" s="500"/>
      <c r="J6" s="500"/>
      <c r="K6" s="500"/>
      <c r="L6" s="500"/>
      <c r="M6" s="501"/>
      <c r="N6" s="429" t="str">
        <f aca="true" t="shared" si="0" ref="N6:N18">A6</f>
        <v>Jalapeno Peppers, canned, finely minced</v>
      </c>
      <c r="O6" s="430"/>
      <c r="P6" s="430"/>
      <c r="Q6" s="430"/>
      <c r="R6" s="232">
        <v>0.08</v>
      </c>
      <c r="S6" s="161" t="s">
        <v>215</v>
      </c>
      <c r="T6" s="162">
        <f>R6*X2</f>
        <v>8</v>
      </c>
      <c r="U6" s="172">
        <f>(X2*R6)/AA6</f>
        <v>8</v>
      </c>
      <c r="V6" s="164" t="s">
        <v>520</v>
      </c>
      <c r="W6" s="165">
        <v>38.4</v>
      </c>
      <c r="X6" s="166">
        <f>U6/2</f>
        <v>4</v>
      </c>
      <c r="Y6" s="166" t="s">
        <v>106</v>
      </c>
      <c r="Z6" s="167">
        <f>(W6/6/128)*X6</f>
        <v>0.19999999999999998</v>
      </c>
      <c r="AA6" s="168">
        <v>1</v>
      </c>
      <c r="AB6" s="169">
        <f>Z6/X2</f>
        <v>0.002</v>
      </c>
      <c r="AC6" s="170">
        <f>X2*AB6</f>
        <v>0.2</v>
      </c>
      <c r="AD6" s="103"/>
      <c r="AE6" s="103"/>
      <c r="AF6" s="103"/>
    </row>
    <row r="7" spans="1:32" ht="18.75" customHeight="1">
      <c r="A7" s="431" t="s">
        <v>330</v>
      </c>
      <c r="B7" s="432"/>
      <c r="C7" s="432"/>
      <c r="D7" s="433"/>
      <c r="E7" s="436" t="s">
        <v>337</v>
      </c>
      <c r="F7" s="435"/>
      <c r="G7" s="91">
        <v>2</v>
      </c>
      <c r="H7" s="432" t="s">
        <v>348</v>
      </c>
      <c r="I7" s="483"/>
      <c r="J7" s="483"/>
      <c r="K7" s="483"/>
      <c r="L7" s="483"/>
      <c r="M7" s="484"/>
      <c r="N7" s="429" t="str">
        <f t="shared" si="0"/>
        <v>Red Onion, Fresh, Diced very small</v>
      </c>
      <c r="O7" s="430"/>
      <c r="P7" s="430"/>
      <c r="Q7" s="430"/>
      <c r="R7" s="232">
        <v>0.02</v>
      </c>
      <c r="S7" s="161" t="s">
        <v>80</v>
      </c>
      <c r="T7" s="176">
        <f>X2*R7</f>
        <v>2</v>
      </c>
      <c r="U7" s="172">
        <f>(X2*R7)/AA7</f>
        <v>2.2222222222222223</v>
      </c>
      <c r="V7" s="164" t="s">
        <v>163</v>
      </c>
      <c r="W7" s="165">
        <v>17.97</v>
      </c>
      <c r="X7" s="166">
        <f>U7/1</f>
        <v>2.2222222222222223</v>
      </c>
      <c r="Y7" s="166" t="s">
        <v>80</v>
      </c>
      <c r="Z7" s="167">
        <f>(W7/25)*X7</f>
        <v>1.5973333333333335</v>
      </c>
      <c r="AA7" s="168">
        <v>0.9</v>
      </c>
      <c r="AB7" s="169">
        <f>Z7/X2</f>
        <v>0.015973333333333336</v>
      </c>
      <c r="AC7" s="170">
        <f>X2*AB7</f>
        <v>1.5973333333333335</v>
      </c>
      <c r="AD7" s="103"/>
      <c r="AE7" s="103"/>
      <c r="AF7" s="103"/>
    </row>
    <row r="8" spans="1:32" ht="18.75" customHeight="1">
      <c r="A8" s="431" t="s">
        <v>331</v>
      </c>
      <c r="B8" s="432"/>
      <c r="C8" s="432"/>
      <c r="D8" s="433"/>
      <c r="E8" s="434" t="s">
        <v>181</v>
      </c>
      <c r="F8" s="435"/>
      <c r="G8" s="91">
        <v>3</v>
      </c>
      <c r="H8" s="432" t="s">
        <v>349</v>
      </c>
      <c r="I8" s="483"/>
      <c r="J8" s="483"/>
      <c r="K8" s="483"/>
      <c r="L8" s="483"/>
      <c r="M8" s="484"/>
      <c r="N8" s="429" t="str">
        <f>A8</f>
        <v>Lime Juice </v>
      </c>
      <c r="O8" s="430"/>
      <c r="P8" s="430"/>
      <c r="Q8" s="430"/>
      <c r="R8" s="79">
        <f>2.5/100</f>
        <v>0.025</v>
      </c>
      <c r="S8" s="161" t="s">
        <v>67</v>
      </c>
      <c r="T8" s="162">
        <f>X2*R8</f>
        <v>2.5</v>
      </c>
      <c r="U8" s="172">
        <f>(X2*R8)/AA8</f>
        <v>3.125</v>
      </c>
      <c r="V8" s="164" t="s">
        <v>166</v>
      </c>
      <c r="W8" s="165">
        <v>10.31</v>
      </c>
      <c r="X8" s="166">
        <f>U8/1</f>
        <v>3.125</v>
      </c>
      <c r="Y8" s="166" t="s">
        <v>67</v>
      </c>
      <c r="Z8" s="167">
        <f>(W8/16)*X8</f>
        <v>2.013671875</v>
      </c>
      <c r="AA8" s="168">
        <v>0.8</v>
      </c>
      <c r="AB8" s="169">
        <f>Z8/X2</f>
        <v>0.02013671875</v>
      </c>
      <c r="AC8" s="170">
        <f>X2*AB8</f>
        <v>2.013671875</v>
      </c>
      <c r="AD8" s="103"/>
      <c r="AE8" s="103"/>
      <c r="AF8" s="103"/>
    </row>
    <row r="9" spans="1:32" ht="18.75" customHeight="1">
      <c r="A9" s="431" t="s">
        <v>332</v>
      </c>
      <c r="B9" s="432"/>
      <c r="C9" s="432"/>
      <c r="D9" s="433"/>
      <c r="E9" s="436" t="s">
        <v>338</v>
      </c>
      <c r="F9" s="435"/>
      <c r="G9" s="91">
        <v>4</v>
      </c>
      <c r="H9" s="432" t="s">
        <v>350</v>
      </c>
      <c r="I9" s="483"/>
      <c r="J9" s="483"/>
      <c r="K9" s="483"/>
      <c r="L9" s="483"/>
      <c r="M9" s="484"/>
      <c r="N9" s="429" t="str">
        <f t="shared" si="0"/>
        <v>Lemon Juice, Fresh</v>
      </c>
      <c r="O9" s="430"/>
      <c r="P9" s="430"/>
      <c r="Q9" s="430"/>
      <c r="R9" s="79">
        <f>15/100</f>
        <v>0.15</v>
      </c>
      <c r="S9" s="161" t="s">
        <v>249</v>
      </c>
      <c r="T9" s="162">
        <f>X2*R9</f>
        <v>15</v>
      </c>
      <c r="U9" s="172">
        <f>(X2*R9)/AA9</f>
        <v>15</v>
      </c>
      <c r="V9" s="164" t="s">
        <v>357</v>
      </c>
      <c r="W9" s="165">
        <v>24.99</v>
      </c>
      <c r="X9" s="166">
        <f>(U9)/1</f>
        <v>15</v>
      </c>
      <c r="Y9" s="166" t="s">
        <v>66</v>
      </c>
      <c r="Z9" s="167">
        <f>(W9/140)*X9</f>
        <v>2.6774999999999998</v>
      </c>
      <c r="AA9" s="168">
        <v>1</v>
      </c>
      <c r="AB9" s="169">
        <f>Z9/X2</f>
        <v>0.026774999999999997</v>
      </c>
      <c r="AC9" s="170">
        <f>X2*AB9</f>
        <v>2.6774999999999998</v>
      </c>
      <c r="AD9" s="103"/>
      <c r="AE9" s="103"/>
      <c r="AF9" s="103"/>
    </row>
    <row r="10" spans="1:32" ht="18.75" customHeight="1">
      <c r="A10" s="431" t="s">
        <v>333</v>
      </c>
      <c r="B10" s="432"/>
      <c r="C10" s="432"/>
      <c r="D10" s="433"/>
      <c r="E10" s="436" t="s">
        <v>339</v>
      </c>
      <c r="F10" s="435"/>
      <c r="G10" s="91">
        <v>5</v>
      </c>
      <c r="H10" s="432" t="s">
        <v>352</v>
      </c>
      <c r="I10" s="494"/>
      <c r="J10" s="494"/>
      <c r="K10" s="494"/>
      <c r="L10" s="494"/>
      <c r="M10" s="495"/>
      <c r="N10" s="429" t="str">
        <f t="shared" si="0"/>
        <v>Mango, peeled, seeded, and small dice</v>
      </c>
      <c r="O10" s="430"/>
      <c r="P10" s="430"/>
      <c r="Q10" s="430"/>
      <c r="R10" s="174">
        <f>10/100</f>
        <v>0.1</v>
      </c>
      <c r="S10" s="161" t="s">
        <v>249</v>
      </c>
      <c r="T10" s="162">
        <f>X2*R10</f>
        <v>10</v>
      </c>
      <c r="U10" s="172">
        <f>(X2*R10)/AA10</f>
        <v>10</v>
      </c>
      <c r="V10" s="164" t="s">
        <v>358</v>
      </c>
      <c r="W10" s="165">
        <v>12.45</v>
      </c>
      <c r="X10" s="166">
        <f aca="true" t="shared" si="1" ref="X10:X15">U10/1</f>
        <v>10</v>
      </c>
      <c r="Y10" s="166" t="s">
        <v>66</v>
      </c>
      <c r="Z10" s="167">
        <f>(W10/14)*X10</f>
        <v>8.892857142857142</v>
      </c>
      <c r="AA10" s="168">
        <v>1</v>
      </c>
      <c r="AB10" s="169">
        <f>Z10/X2</f>
        <v>0.08892857142857143</v>
      </c>
      <c r="AC10" s="170">
        <f>X2*AB10</f>
        <v>8.892857142857142</v>
      </c>
      <c r="AD10" s="103"/>
      <c r="AE10" s="103"/>
      <c r="AF10" s="103"/>
    </row>
    <row r="11" spans="1:32" ht="18.75" customHeight="1">
      <c r="A11" s="431" t="s">
        <v>334</v>
      </c>
      <c r="B11" s="432"/>
      <c r="C11" s="432"/>
      <c r="D11" s="433"/>
      <c r="E11" s="436" t="s">
        <v>340</v>
      </c>
      <c r="F11" s="435"/>
      <c r="G11" s="91">
        <v>6</v>
      </c>
      <c r="H11" s="432" t="s">
        <v>353</v>
      </c>
      <c r="I11" s="494"/>
      <c r="J11" s="494"/>
      <c r="K11" s="494"/>
      <c r="L11" s="494"/>
      <c r="M11" s="495"/>
      <c r="N11" s="438" t="str">
        <f t="shared" si="0"/>
        <v>Papaya, peeled, seeded, and small dice</v>
      </c>
      <c r="O11" s="439"/>
      <c r="P11" s="439"/>
      <c r="Q11" s="439"/>
      <c r="R11" s="79">
        <f>3/100</f>
        <v>0.03</v>
      </c>
      <c r="S11" s="161" t="s">
        <v>249</v>
      </c>
      <c r="T11" s="162">
        <f>X2*R11</f>
        <v>3</v>
      </c>
      <c r="U11" s="172">
        <f>(X2*R11)/AA11</f>
        <v>4.477611940298507</v>
      </c>
      <c r="V11" s="233" t="s">
        <v>359</v>
      </c>
      <c r="W11" s="165">
        <v>114.51</v>
      </c>
      <c r="X11" s="166">
        <f>U11/1</f>
        <v>4.477611940298507</v>
      </c>
      <c r="Y11" s="166" t="s">
        <v>80</v>
      </c>
      <c r="Z11" s="167">
        <f>(W11/8)*X11</f>
        <v>64.09141791044776</v>
      </c>
      <c r="AA11" s="168">
        <v>0.67</v>
      </c>
      <c r="AB11" s="169">
        <f>Z11/X2</f>
        <v>0.6409141791044776</v>
      </c>
      <c r="AC11" s="170">
        <f>X2*AB11</f>
        <v>64.09141791044776</v>
      </c>
      <c r="AD11" s="103"/>
      <c r="AE11" s="103"/>
      <c r="AF11" s="103"/>
    </row>
    <row r="12" spans="1:32" ht="18.75" customHeight="1">
      <c r="A12" s="431" t="s">
        <v>335</v>
      </c>
      <c r="B12" s="432"/>
      <c r="C12" s="432"/>
      <c r="D12" s="433"/>
      <c r="E12" s="436" t="s">
        <v>341</v>
      </c>
      <c r="F12" s="435"/>
      <c r="G12" s="91">
        <v>7</v>
      </c>
      <c r="H12" s="432" t="s">
        <v>351</v>
      </c>
      <c r="I12" s="494"/>
      <c r="J12" s="494"/>
      <c r="K12" s="494"/>
      <c r="L12" s="494"/>
      <c r="M12" s="495"/>
      <c r="N12" s="431" t="str">
        <f>A12</f>
        <v>Cilantro, Fresh, chopped</v>
      </c>
      <c r="O12" s="437"/>
      <c r="P12" s="437"/>
      <c r="Q12" s="437"/>
      <c r="R12" s="232">
        <v>0.1</v>
      </c>
      <c r="S12" s="161" t="s">
        <v>215</v>
      </c>
      <c r="T12" s="162">
        <f>X2*R12</f>
        <v>10</v>
      </c>
      <c r="U12" s="172">
        <f>(X2*R12)/AA12</f>
        <v>10.526315789473685</v>
      </c>
      <c r="V12" s="234" t="s">
        <v>228</v>
      </c>
      <c r="W12" s="165">
        <v>3.83</v>
      </c>
      <c r="X12" s="166">
        <f>U12/32</f>
        <v>0.32894736842105265</v>
      </c>
      <c r="Y12" s="166" t="s">
        <v>80</v>
      </c>
      <c r="Z12" s="167">
        <f>(W12)*X12</f>
        <v>1.2598684210526316</v>
      </c>
      <c r="AA12" s="168">
        <v>0.95</v>
      </c>
      <c r="AB12" s="169">
        <f>Z12/X2</f>
        <v>0.012598684210526316</v>
      </c>
      <c r="AC12" s="170">
        <f>X2*AB12</f>
        <v>1.2598684210526316</v>
      </c>
      <c r="AD12" s="103"/>
      <c r="AE12" s="103"/>
      <c r="AF12" s="103"/>
    </row>
    <row r="13" spans="1:32" ht="18.75" customHeight="1">
      <c r="A13" s="431" t="s">
        <v>196</v>
      </c>
      <c r="B13" s="432"/>
      <c r="C13" s="432"/>
      <c r="D13" s="433"/>
      <c r="E13" s="434" t="s">
        <v>342</v>
      </c>
      <c r="F13" s="435"/>
      <c r="G13" s="91">
        <v>8</v>
      </c>
      <c r="H13" s="432" t="s">
        <v>354</v>
      </c>
      <c r="I13" s="483"/>
      <c r="J13" s="483"/>
      <c r="K13" s="483"/>
      <c r="L13" s="483"/>
      <c r="M13" s="484"/>
      <c r="N13" s="429" t="str">
        <f t="shared" si="0"/>
        <v>Olive Oil</v>
      </c>
      <c r="O13" s="430"/>
      <c r="P13" s="430"/>
      <c r="Q13" s="430"/>
      <c r="R13" s="79">
        <f>1.25/100</f>
        <v>0.0125</v>
      </c>
      <c r="S13" s="161" t="s">
        <v>67</v>
      </c>
      <c r="T13" s="162">
        <f>X2*R13</f>
        <v>1.25</v>
      </c>
      <c r="U13" s="172">
        <f>(X2*R13)/AA13</f>
        <v>1.25</v>
      </c>
      <c r="V13" s="164" t="s">
        <v>166</v>
      </c>
      <c r="W13" s="165">
        <v>20.04</v>
      </c>
      <c r="X13" s="166">
        <f>U13/16</f>
        <v>0.078125</v>
      </c>
      <c r="Y13" s="166" t="s">
        <v>88</v>
      </c>
      <c r="Z13" s="167">
        <f>(W13/5)*X13</f>
        <v>0.313125</v>
      </c>
      <c r="AA13" s="168">
        <v>1</v>
      </c>
      <c r="AB13" s="169">
        <f>Z13/X2</f>
        <v>0.00313125</v>
      </c>
      <c r="AC13" s="170">
        <f>X2*AB13</f>
        <v>0.313125</v>
      </c>
      <c r="AD13" s="103"/>
      <c r="AE13" s="103"/>
      <c r="AF13" s="103"/>
    </row>
    <row r="14" spans="1:32" ht="18.75" customHeight="1">
      <c r="A14" s="431" t="s">
        <v>99</v>
      </c>
      <c r="B14" s="432"/>
      <c r="C14" s="432"/>
      <c r="D14" s="433"/>
      <c r="E14" s="434" t="s">
        <v>343</v>
      </c>
      <c r="F14" s="435"/>
      <c r="G14" s="91"/>
      <c r="H14" s="432"/>
      <c r="I14" s="483"/>
      <c r="J14" s="483"/>
      <c r="K14" s="483"/>
      <c r="L14" s="483"/>
      <c r="M14" s="484"/>
      <c r="N14" s="429" t="str">
        <f t="shared" si="0"/>
        <v>Salt</v>
      </c>
      <c r="O14" s="430"/>
      <c r="P14" s="430"/>
      <c r="Q14" s="430"/>
      <c r="R14" s="79">
        <f>1.25/100</f>
        <v>0.0125</v>
      </c>
      <c r="S14" s="161" t="s">
        <v>215</v>
      </c>
      <c r="T14" s="162">
        <f>X2*R14</f>
        <v>1.25</v>
      </c>
      <c r="U14" s="172">
        <f>(X2*R14)/AA14</f>
        <v>1.25</v>
      </c>
      <c r="V14" s="164"/>
      <c r="W14" s="165"/>
      <c r="X14" s="166">
        <f t="shared" si="1"/>
        <v>1.25</v>
      </c>
      <c r="Y14" s="166"/>
      <c r="Z14" s="167">
        <f>(W14/5)*X14</f>
        <v>0</v>
      </c>
      <c r="AA14" s="168">
        <v>1</v>
      </c>
      <c r="AB14" s="169">
        <f>Z14/X2</f>
        <v>0</v>
      </c>
      <c r="AC14" s="170">
        <f>X2*AB14</f>
        <v>0</v>
      </c>
      <c r="AD14" s="103"/>
      <c r="AE14" s="103"/>
      <c r="AF14" s="103"/>
    </row>
    <row r="15" spans="1:32" ht="18.75" customHeight="1">
      <c r="A15" s="431" t="s">
        <v>518</v>
      </c>
      <c r="B15" s="432"/>
      <c r="C15" s="432"/>
      <c r="D15" s="433"/>
      <c r="E15" s="434" t="s">
        <v>344</v>
      </c>
      <c r="F15" s="435"/>
      <c r="G15" s="91"/>
      <c r="H15" s="432"/>
      <c r="I15" s="483"/>
      <c r="J15" s="483"/>
      <c r="K15" s="483"/>
      <c r="L15" s="483"/>
      <c r="M15" s="484"/>
      <c r="N15" s="429" t="str">
        <f t="shared" si="0"/>
        <v>Pepper, Black, ground</v>
      </c>
      <c r="O15" s="430"/>
      <c r="P15" s="430"/>
      <c r="Q15" s="430"/>
      <c r="R15" s="79">
        <f>0.5/100</f>
        <v>0.005</v>
      </c>
      <c r="S15" s="161" t="s">
        <v>215</v>
      </c>
      <c r="T15" s="162">
        <f>X2*R15</f>
        <v>0.5</v>
      </c>
      <c r="U15" s="172">
        <f>(X2*R15)/AA15</f>
        <v>0.5</v>
      </c>
      <c r="V15" s="164"/>
      <c r="W15" s="165"/>
      <c r="X15" s="166">
        <f t="shared" si="1"/>
        <v>0.5</v>
      </c>
      <c r="Y15" s="166"/>
      <c r="Z15" s="167">
        <f>(W15/5)*X15</f>
        <v>0</v>
      </c>
      <c r="AA15" s="168">
        <v>1</v>
      </c>
      <c r="AB15" s="169">
        <f>Z15/X2</f>
        <v>0</v>
      </c>
      <c r="AC15" s="170">
        <f>X2*AB15</f>
        <v>0</v>
      </c>
      <c r="AD15" s="103"/>
      <c r="AE15" s="103"/>
      <c r="AF15" s="103"/>
    </row>
    <row r="16" spans="1:32" ht="18.75" customHeight="1">
      <c r="A16" s="431" t="s">
        <v>336</v>
      </c>
      <c r="B16" s="432"/>
      <c r="C16" s="432"/>
      <c r="D16" s="433"/>
      <c r="E16" s="434" t="s">
        <v>345</v>
      </c>
      <c r="F16" s="435"/>
      <c r="G16" s="91"/>
      <c r="H16" s="432"/>
      <c r="I16" s="483"/>
      <c r="J16" s="483"/>
      <c r="K16" s="483"/>
      <c r="L16" s="483"/>
      <c r="M16" s="484"/>
      <c r="N16" s="429" t="str">
        <f t="shared" si="0"/>
        <v>Bay Scallop</v>
      </c>
      <c r="O16" s="430"/>
      <c r="P16" s="430"/>
      <c r="Q16" s="430"/>
      <c r="R16" s="79">
        <v>0.1</v>
      </c>
      <c r="S16" s="161" t="s">
        <v>80</v>
      </c>
      <c r="T16" s="162">
        <f>X2*R16</f>
        <v>10</v>
      </c>
      <c r="U16" s="172">
        <f>(X2*R16)/AA16</f>
        <v>10</v>
      </c>
      <c r="V16" s="164" t="s">
        <v>165</v>
      </c>
      <c r="W16" s="165">
        <v>33.8</v>
      </c>
      <c r="X16" s="166">
        <f>U16/1</f>
        <v>10</v>
      </c>
      <c r="Y16" s="166" t="s">
        <v>80</v>
      </c>
      <c r="Z16" s="167">
        <f>(W16/5)*X16</f>
        <v>67.6</v>
      </c>
      <c r="AA16" s="168">
        <v>1</v>
      </c>
      <c r="AB16" s="169">
        <f>Z16/X2</f>
        <v>0.6759999999999999</v>
      </c>
      <c r="AC16" s="170">
        <f>X2*AB16</f>
        <v>67.6</v>
      </c>
      <c r="AD16" s="103"/>
      <c r="AE16" s="103"/>
      <c r="AF16" s="103"/>
    </row>
    <row r="17" spans="1:32" ht="18.75" customHeight="1">
      <c r="A17" s="431" t="s">
        <v>360</v>
      </c>
      <c r="B17" s="432"/>
      <c r="C17" s="432"/>
      <c r="D17" s="433"/>
      <c r="E17" s="434" t="s">
        <v>346</v>
      </c>
      <c r="F17" s="435"/>
      <c r="G17" s="91"/>
      <c r="H17" s="432"/>
      <c r="I17" s="483"/>
      <c r="J17" s="483"/>
      <c r="K17" s="483"/>
      <c r="L17" s="483"/>
      <c r="M17" s="484"/>
      <c r="N17" s="429" t="str">
        <f t="shared" si="0"/>
        <v>English Cucumber </v>
      </c>
      <c r="O17" s="430"/>
      <c r="P17" s="430"/>
      <c r="Q17" s="430"/>
      <c r="R17" s="79">
        <f>12/100</f>
        <v>0.12</v>
      </c>
      <c r="S17" s="161" t="s">
        <v>249</v>
      </c>
      <c r="T17" s="162">
        <f>X2*R17</f>
        <v>12</v>
      </c>
      <c r="U17" s="172">
        <f>(X2*R17)/AA17</f>
        <v>12</v>
      </c>
      <c r="V17" s="164" t="s">
        <v>361</v>
      </c>
      <c r="W17" s="165">
        <v>14.61</v>
      </c>
      <c r="X17" s="166">
        <f>U17/1</f>
        <v>12</v>
      </c>
      <c r="Y17" s="166" t="s">
        <v>66</v>
      </c>
      <c r="Z17" s="167">
        <f>(W17/12)*X17</f>
        <v>14.61</v>
      </c>
      <c r="AA17" s="168">
        <v>1</v>
      </c>
      <c r="AB17" s="169">
        <f>Z17/X2</f>
        <v>0.1461</v>
      </c>
      <c r="AC17" s="170">
        <f>X2*AB17</f>
        <v>14.610000000000001</v>
      </c>
      <c r="AD17" s="103"/>
      <c r="AE17" s="103"/>
      <c r="AF17" s="103"/>
    </row>
    <row r="18" spans="1:32" ht="18.75" customHeight="1">
      <c r="A18" s="431"/>
      <c r="B18" s="432"/>
      <c r="C18" s="432"/>
      <c r="D18" s="433"/>
      <c r="E18" s="434"/>
      <c r="F18" s="435"/>
      <c r="G18" s="91"/>
      <c r="H18" s="432"/>
      <c r="I18" s="483"/>
      <c r="J18" s="483"/>
      <c r="K18" s="483"/>
      <c r="L18" s="483"/>
      <c r="M18" s="484"/>
      <c r="N18" s="429">
        <f t="shared" si="0"/>
        <v>0</v>
      </c>
      <c r="O18" s="430"/>
      <c r="P18" s="430"/>
      <c r="Q18" s="430"/>
      <c r="R18" s="79"/>
      <c r="S18" s="161"/>
      <c r="T18" s="162">
        <f>X2*R18</f>
        <v>0</v>
      </c>
      <c r="U18" s="177">
        <f>(X2*R18)/AA18</f>
        <v>0</v>
      </c>
      <c r="V18" s="164"/>
      <c r="W18" s="165"/>
      <c r="X18" s="166">
        <f>U18/20</f>
        <v>0</v>
      </c>
      <c r="Y18" s="166"/>
      <c r="Z18" s="167">
        <f>W18*X18</f>
        <v>0</v>
      </c>
      <c r="AA18" s="168">
        <v>1</v>
      </c>
      <c r="AB18" s="169">
        <f>Z18/X2</f>
        <v>0</v>
      </c>
      <c r="AC18" s="170">
        <f>X2*AB18</f>
        <v>0</v>
      </c>
      <c r="AD18" s="103"/>
      <c r="AE18" s="103"/>
      <c r="AF18" s="103"/>
    </row>
    <row r="19" spans="1:32" ht="18.75" customHeight="1">
      <c r="A19" s="431"/>
      <c r="B19" s="432"/>
      <c r="C19" s="432"/>
      <c r="D19" s="433"/>
      <c r="E19" s="434"/>
      <c r="F19" s="435"/>
      <c r="G19" s="91"/>
      <c r="H19" s="432"/>
      <c r="I19" s="483"/>
      <c r="J19" s="483"/>
      <c r="K19" s="483"/>
      <c r="L19" s="483"/>
      <c r="M19" s="484"/>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83"/>
      <c r="J20" s="483"/>
      <c r="K20" s="483"/>
      <c r="L20" s="483"/>
      <c r="M20" s="484"/>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391" t="s">
        <v>47</v>
      </c>
      <c r="O23" s="425"/>
      <c r="P23" s="425"/>
      <c r="Q23" s="392"/>
      <c r="R23" s="425" t="s">
        <v>7</v>
      </c>
      <c r="S23" s="424"/>
      <c r="T23" s="424"/>
      <c r="U23" s="424"/>
      <c r="V23" s="424"/>
      <c r="W23" s="424"/>
      <c r="X23" s="424"/>
      <c r="Y23" s="424"/>
      <c r="Z23" s="424"/>
      <c r="AA23" s="424"/>
      <c r="AB23" s="424"/>
      <c r="AC23" s="115">
        <f>ROUNDUP(SUM(AC6:AC22),5)</f>
        <v>163.25578000000002</v>
      </c>
      <c r="AD23" s="103"/>
      <c r="AE23" s="103"/>
      <c r="AF23" s="103"/>
    </row>
    <row r="24" spans="1:32" ht="20.25" customHeight="1">
      <c r="A24" s="559" t="s">
        <v>45</v>
      </c>
      <c r="B24" s="560"/>
      <c r="C24" s="560"/>
      <c r="D24" s="560"/>
      <c r="E24" s="560"/>
      <c r="F24" s="560"/>
      <c r="G24" s="560"/>
      <c r="H24" s="560"/>
      <c r="I24" s="560"/>
      <c r="J24" s="560"/>
      <c r="K24" s="561"/>
      <c r="L24" s="116"/>
      <c r="M24" s="116"/>
      <c r="N24" s="524"/>
      <c r="O24" s="525"/>
      <c r="P24" s="525"/>
      <c r="Q24" s="525"/>
      <c r="R24" s="134"/>
      <c r="S24" s="134"/>
      <c r="T24" s="134"/>
      <c r="U24" s="134"/>
      <c r="V24" s="134"/>
      <c r="W24" s="135" t="s">
        <v>9</v>
      </c>
      <c r="X24" s="135"/>
      <c r="Y24" s="135"/>
      <c r="Z24" s="135"/>
      <c r="AA24" s="135"/>
      <c r="AB24" s="135"/>
      <c r="AC24" s="117">
        <f>ROUND(AC23*10/100,5)</f>
        <v>16.32558</v>
      </c>
      <c r="AD24" s="103"/>
      <c r="AE24" s="103"/>
      <c r="AF24" s="103"/>
    </row>
    <row r="25" spans="1:32" ht="30" customHeight="1" thickBot="1">
      <c r="A25" s="409" t="s">
        <v>42</v>
      </c>
      <c r="B25" s="481"/>
      <c r="C25" s="481"/>
      <c r="D25" s="481"/>
      <c r="E25" s="481"/>
      <c r="F25" s="218"/>
      <c r="G25" s="411" t="s">
        <v>46</v>
      </c>
      <c r="H25" s="411"/>
      <c r="I25" s="411"/>
      <c r="J25" s="481"/>
      <c r="K25" s="482"/>
      <c r="L25" s="218"/>
      <c r="M25" s="218"/>
      <c r="N25" s="119"/>
      <c r="O25" s="217"/>
      <c r="P25" s="507"/>
      <c r="Q25" s="507"/>
      <c r="R25" s="138"/>
      <c r="S25" s="138"/>
      <c r="T25" s="138"/>
      <c r="U25" s="138"/>
      <c r="V25" s="138"/>
      <c r="W25" s="139" t="s">
        <v>6</v>
      </c>
      <c r="X25" s="139"/>
      <c r="Y25" s="139"/>
      <c r="Z25" s="139"/>
      <c r="AA25" s="139"/>
      <c r="AB25" s="139"/>
      <c r="AC25" s="120">
        <f>AC23+AC24</f>
        <v>179.58136000000002</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393" t="s">
        <v>40</v>
      </c>
      <c r="H27" s="393"/>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1.7958136000000002</v>
      </c>
      <c r="AD27" s="122"/>
      <c r="AE27" s="122"/>
      <c r="AF27" s="122"/>
    </row>
    <row r="28" spans="1:32" ht="37.5" customHeight="1">
      <c r="A28" s="22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179.58136000000002</v>
      </c>
      <c r="Q29" s="126">
        <v>0</v>
      </c>
      <c r="R29" s="387">
        <f>P29+Q29</f>
        <v>179.58136000000002</v>
      </c>
      <c r="S29" s="388"/>
      <c r="T29" s="127"/>
      <c r="U29" s="128"/>
      <c r="V29" s="128"/>
      <c r="W29" s="119"/>
      <c r="X29" s="129">
        <f>AC27/AA29</f>
        <v>5.986045333333334</v>
      </c>
      <c r="Y29" s="129"/>
      <c r="Z29" s="129"/>
      <c r="AA29" s="130">
        <v>0.3</v>
      </c>
      <c r="AB29" s="389">
        <f ca="1">NOW()</f>
        <v>41359.56477372685</v>
      </c>
      <c r="AC29" s="390"/>
    </row>
  </sheetData>
  <sheetProtection/>
  <mergeCells count="107">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1" width="13.7109375" style="216" customWidth="1"/>
    <col min="12" max="12" width="9.7109375" style="216" customWidth="1"/>
    <col min="13" max="13" width="29.003906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218</v>
      </c>
      <c r="D2" s="469"/>
      <c r="E2" s="469"/>
      <c r="F2" s="469"/>
      <c r="G2" s="469"/>
      <c r="H2" s="214" t="s">
        <v>55</v>
      </c>
      <c r="I2" s="151">
        <v>100</v>
      </c>
      <c r="J2" s="214" t="s">
        <v>48</v>
      </c>
      <c r="K2" s="152" t="s">
        <v>243</v>
      </c>
      <c r="L2" s="152"/>
      <c r="M2" s="153"/>
      <c r="N2" s="508" t="s">
        <v>17</v>
      </c>
      <c r="O2" s="508"/>
      <c r="P2" s="471" t="str">
        <f>C2</f>
        <v>Cajun Chicken Canapés</v>
      </c>
      <c r="Q2" s="471"/>
      <c r="R2" s="471"/>
      <c r="S2" s="471"/>
      <c r="T2" s="472"/>
      <c r="U2" s="77"/>
      <c r="V2" s="77"/>
      <c r="W2" s="214" t="s">
        <v>55</v>
      </c>
      <c r="X2" s="78">
        <f>I2</f>
        <v>100</v>
      </c>
      <c r="Y2" s="79"/>
      <c r="Z2" s="80" t="s">
        <v>53</v>
      </c>
      <c r="AA2" s="518" t="str">
        <f>K2</f>
        <v>1.5 ounce per serving</v>
      </c>
      <c r="AB2" s="398"/>
      <c r="AC2" s="398"/>
      <c r="AD2" s="84"/>
      <c r="AE2" s="84"/>
      <c r="AF2" s="84"/>
      <c r="AG2" s="83"/>
      <c r="AH2" s="83"/>
    </row>
    <row r="3" spans="1:34" ht="11.25" customHeight="1">
      <c r="A3" s="212"/>
      <c r="B3" s="230"/>
      <c r="C3" s="519"/>
      <c r="D3" s="520"/>
      <c r="E3" s="520"/>
      <c r="F3" s="520"/>
      <c r="G3" s="520"/>
      <c r="H3" s="231"/>
      <c r="I3" s="437"/>
      <c r="J3" s="528"/>
      <c r="K3" s="528"/>
      <c r="L3" s="85"/>
      <c r="M3" s="86"/>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362</v>
      </c>
      <c r="B6" s="444"/>
      <c r="C6" s="444"/>
      <c r="D6" s="445"/>
      <c r="E6" s="446" t="s">
        <v>359</v>
      </c>
      <c r="F6" s="447"/>
      <c r="G6" s="91">
        <v>1</v>
      </c>
      <c r="H6" s="444" t="s">
        <v>369</v>
      </c>
      <c r="I6" s="500"/>
      <c r="J6" s="500"/>
      <c r="K6" s="500"/>
      <c r="L6" s="500"/>
      <c r="M6" s="501"/>
      <c r="N6" s="429" t="str">
        <f aca="true" t="shared" si="0" ref="N6:N14">A6</f>
        <v>Chicken, Breast, Raw, boneless-skinless</v>
      </c>
      <c r="O6" s="430"/>
      <c r="P6" s="430"/>
      <c r="Q6" s="430"/>
      <c r="R6" s="232">
        <v>0.08</v>
      </c>
      <c r="S6" s="161" t="s">
        <v>80</v>
      </c>
      <c r="T6" s="162">
        <f>R6*X2</f>
        <v>8</v>
      </c>
      <c r="U6" s="172">
        <f>(X2*R6)/AA6</f>
        <v>8</v>
      </c>
      <c r="V6" s="164" t="s">
        <v>371</v>
      </c>
      <c r="W6" s="165">
        <v>50.98</v>
      </c>
      <c r="X6" s="166">
        <f>U6/1</f>
        <v>8</v>
      </c>
      <c r="Y6" s="166" t="s">
        <v>80</v>
      </c>
      <c r="Z6" s="167">
        <f>(W6/4/5)*X6</f>
        <v>20.392</v>
      </c>
      <c r="AA6" s="168">
        <v>1</v>
      </c>
      <c r="AB6" s="169">
        <f>Z6/X2</f>
        <v>0.20392</v>
      </c>
      <c r="AC6" s="170">
        <f>X2*AB6</f>
        <v>20.392</v>
      </c>
      <c r="AD6" s="103"/>
      <c r="AE6" s="103"/>
      <c r="AF6" s="103"/>
    </row>
    <row r="7" spans="1:32" ht="18.75" customHeight="1">
      <c r="A7" s="431" t="s">
        <v>363</v>
      </c>
      <c r="B7" s="432"/>
      <c r="C7" s="432"/>
      <c r="D7" s="433"/>
      <c r="E7" s="436" t="s">
        <v>228</v>
      </c>
      <c r="F7" s="435"/>
      <c r="G7" s="91">
        <v>2</v>
      </c>
      <c r="H7" s="432" t="s">
        <v>370</v>
      </c>
      <c r="I7" s="483"/>
      <c r="J7" s="483"/>
      <c r="K7" s="483"/>
      <c r="L7" s="483"/>
      <c r="M7" s="484"/>
      <c r="N7" s="429" t="str">
        <f t="shared" si="0"/>
        <v>Red Onion, Fresh, fine chop</v>
      </c>
      <c r="O7" s="430"/>
      <c r="P7" s="430"/>
      <c r="Q7" s="430"/>
      <c r="R7" s="232">
        <v>0.01</v>
      </c>
      <c r="S7" s="161" t="s">
        <v>80</v>
      </c>
      <c r="T7" s="176">
        <f>X2*R7</f>
        <v>1</v>
      </c>
      <c r="U7" s="172">
        <f>(X2*R7)/AA7</f>
        <v>1.1111111111111112</v>
      </c>
      <c r="V7" s="164" t="s">
        <v>163</v>
      </c>
      <c r="W7" s="165">
        <v>17.97</v>
      </c>
      <c r="X7" s="166">
        <f>U7/1</f>
        <v>1.1111111111111112</v>
      </c>
      <c r="Y7" s="166" t="s">
        <v>80</v>
      </c>
      <c r="Z7" s="167">
        <f>(W7/25)*X7</f>
        <v>0.7986666666666667</v>
      </c>
      <c r="AA7" s="168">
        <v>0.9</v>
      </c>
      <c r="AB7" s="169">
        <f>Z7/X2</f>
        <v>0.007986666666666668</v>
      </c>
      <c r="AC7" s="170">
        <f>X2*AB7</f>
        <v>0.7986666666666667</v>
      </c>
      <c r="AD7" s="103"/>
      <c r="AE7" s="103"/>
      <c r="AF7" s="103"/>
    </row>
    <row r="8" spans="1:32" ht="21" customHeight="1">
      <c r="A8" s="431" t="s">
        <v>364</v>
      </c>
      <c r="B8" s="432"/>
      <c r="C8" s="432"/>
      <c r="D8" s="433"/>
      <c r="E8" s="434" t="s">
        <v>63</v>
      </c>
      <c r="F8" s="435"/>
      <c r="G8" s="91"/>
      <c r="H8" s="432"/>
      <c r="I8" s="483"/>
      <c r="J8" s="483"/>
      <c r="K8" s="483"/>
      <c r="L8" s="483"/>
      <c r="M8" s="484"/>
      <c r="N8" s="429" t="str">
        <f t="shared" si="0"/>
        <v>Bellpepper, Red, fresh, fine dice</v>
      </c>
      <c r="O8" s="430"/>
      <c r="P8" s="430"/>
      <c r="Q8" s="430"/>
      <c r="R8" s="79">
        <v>0.1</v>
      </c>
      <c r="S8" s="161" t="s">
        <v>106</v>
      </c>
      <c r="T8" s="162">
        <f>X2*R8</f>
        <v>10</v>
      </c>
      <c r="U8" s="172">
        <f>(X2*R8)/AA8</f>
        <v>12.195121951219512</v>
      </c>
      <c r="V8" s="164" t="s">
        <v>165</v>
      </c>
      <c r="W8" s="165">
        <v>14.45</v>
      </c>
      <c r="X8" s="166">
        <f>U8/16</f>
        <v>0.7621951219512195</v>
      </c>
      <c r="Y8" s="166" t="s">
        <v>80</v>
      </c>
      <c r="Z8" s="167">
        <f>(W8/5)*X8</f>
        <v>2.2027439024390243</v>
      </c>
      <c r="AA8" s="168">
        <v>0.82</v>
      </c>
      <c r="AB8" s="169">
        <f>Z8/X2</f>
        <v>0.022027439024390243</v>
      </c>
      <c r="AC8" s="170">
        <f>X2*AB8</f>
        <v>2.2027439024390243</v>
      </c>
      <c r="AD8" s="103"/>
      <c r="AE8" s="103"/>
      <c r="AF8" s="103"/>
    </row>
    <row r="9" spans="1:32" ht="18.75" customHeight="1">
      <c r="A9" s="431" t="s">
        <v>365</v>
      </c>
      <c r="B9" s="432"/>
      <c r="C9" s="432"/>
      <c r="D9" s="433"/>
      <c r="E9" s="436" t="s">
        <v>63</v>
      </c>
      <c r="F9" s="435"/>
      <c r="G9" s="91"/>
      <c r="H9" s="432"/>
      <c r="I9" s="483"/>
      <c r="J9" s="483"/>
      <c r="K9" s="483"/>
      <c r="L9" s="483"/>
      <c r="M9" s="484"/>
      <c r="N9" s="429" t="str">
        <f t="shared" si="0"/>
        <v>Bellpepper, Green, fresh, fine dice</v>
      </c>
      <c r="O9" s="430"/>
      <c r="P9" s="430"/>
      <c r="Q9" s="430"/>
      <c r="R9" s="79">
        <v>0.1</v>
      </c>
      <c r="S9" s="161" t="s">
        <v>106</v>
      </c>
      <c r="T9" s="162">
        <f>X2*R9</f>
        <v>10</v>
      </c>
      <c r="U9" s="172">
        <f>(X2*R9)/AA9</f>
        <v>12.195121951219512</v>
      </c>
      <c r="V9" s="164" t="s">
        <v>165</v>
      </c>
      <c r="W9" s="165">
        <v>9.66</v>
      </c>
      <c r="X9" s="166">
        <f>U9/16</f>
        <v>0.7621951219512195</v>
      </c>
      <c r="Y9" s="166" t="s">
        <v>80</v>
      </c>
      <c r="Z9" s="167">
        <f>(W9/5)*X9</f>
        <v>1.472560975609756</v>
      </c>
      <c r="AA9" s="168">
        <v>0.82</v>
      </c>
      <c r="AB9" s="169">
        <f>Z9/X2</f>
        <v>0.01472560975609756</v>
      </c>
      <c r="AC9" s="170">
        <f>X2*AB9</f>
        <v>1.472560975609756</v>
      </c>
      <c r="AD9" s="103"/>
      <c r="AE9" s="103"/>
      <c r="AF9" s="103"/>
    </row>
    <row r="10" spans="1:32" ht="18.75" customHeight="1">
      <c r="A10" s="431" t="s">
        <v>366</v>
      </c>
      <c r="B10" s="432"/>
      <c r="C10" s="432"/>
      <c r="D10" s="433"/>
      <c r="E10" s="436" t="s">
        <v>131</v>
      </c>
      <c r="F10" s="435"/>
      <c r="G10" s="91"/>
      <c r="H10" s="432"/>
      <c r="I10" s="494"/>
      <c r="J10" s="494"/>
      <c r="K10" s="494"/>
      <c r="L10" s="494"/>
      <c r="M10" s="495"/>
      <c r="N10" s="429" t="str">
        <f t="shared" si="0"/>
        <v>Cajun Seasoning</v>
      </c>
      <c r="O10" s="430"/>
      <c r="P10" s="430"/>
      <c r="Q10" s="430"/>
      <c r="R10" s="174">
        <v>0.005</v>
      </c>
      <c r="S10" s="161" t="s">
        <v>67</v>
      </c>
      <c r="T10" s="162">
        <f>X2*R10</f>
        <v>0.5</v>
      </c>
      <c r="U10" s="172">
        <f>(X2*R10)/AA10</f>
        <v>0.5</v>
      </c>
      <c r="V10" s="164" t="s">
        <v>372</v>
      </c>
      <c r="W10" s="165">
        <v>10.51</v>
      </c>
      <c r="X10" s="166">
        <f>U10/1</f>
        <v>0.5</v>
      </c>
      <c r="Y10" s="166" t="s">
        <v>67</v>
      </c>
      <c r="Z10" s="167">
        <f>((W10/22)*X10)*8</f>
        <v>1.910909090909091</v>
      </c>
      <c r="AA10" s="168">
        <v>1</v>
      </c>
      <c r="AB10" s="169">
        <f>Z10/X2</f>
        <v>0.01910909090909091</v>
      </c>
      <c r="AC10" s="170">
        <f>X2*AB10</f>
        <v>1.910909090909091</v>
      </c>
      <c r="AD10" s="103"/>
      <c r="AE10" s="103"/>
      <c r="AF10" s="103"/>
    </row>
    <row r="11" spans="1:32" ht="18.75" customHeight="1">
      <c r="A11" s="431" t="s">
        <v>367</v>
      </c>
      <c r="B11" s="432"/>
      <c r="C11" s="432"/>
      <c r="D11" s="433"/>
      <c r="E11" s="436" t="s">
        <v>368</v>
      </c>
      <c r="F11" s="435"/>
      <c r="G11" s="91"/>
      <c r="H11" s="432"/>
      <c r="I11" s="494"/>
      <c r="J11" s="494"/>
      <c r="K11" s="494"/>
      <c r="L11" s="494"/>
      <c r="M11" s="495"/>
      <c r="N11" s="438" t="str">
        <f t="shared" si="0"/>
        <v>Mayonnaise</v>
      </c>
      <c r="O11" s="439"/>
      <c r="P11" s="439"/>
      <c r="Q11" s="439"/>
      <c r="R11" s="79">
        <v>0.06</v>
      </c>
      <c r="S11" s="161" t="s">
        <v>67</v>
      </c>
      <c r="T11" s="162">
        <f>X2*R11</f>
        <v>6</v>
      </c>
      <c r="U11" s="172">
        <f>(X2*R11)/AA11</f>
        <v>6</v>
      </c>
      <c r="V11" s="233" t="s">
        <v>373</v>
      </c>
      <c r="W11" s="165">
        <v>40.23</v>
      </c>
      <c r="X11" s="166">
        <f>U11/1</f>
        <v>6</v>
      </c>
      <c r="Y11" s="166" t="s">
        <v>67</v>
      </c>
      <c r="Z11" s="167">
        <f>(W11/4/16)*X11</f>
        <v>3.7715625</v>
      </c>
      <c r="AA11" s="168">
        <v>1</v>
      </c>
      <c r="AB11" s="169">
        <f>Z11/X2</f>
        <v>0.037715625</v>
      </c>
      <c r="AC11" s="170">
        <f>X2*AB11</f>
        <v>3.7715625000000004</v>
      </c>
      <c r="AD11" s="103"/>
      <c r="AE11" s="103"/>
      <c r="AF11" s="103"/>
    </row>
    <row r="12" spans="1:32" ht="18.75" customHeight="1">
      <c r="A12" s="431" t="s">
        <v>99</v>
      </c>
      <c r="B12" s="432"/>
      <c r="C12" s="432"/>
      <c r="D12" s="433"/>
      <c r="E12" s="436" t="s">
        <v>229</v>
      </c>
      <c r="F12" s="435"/>
      <c r="G12" s="91"/>
      <c r="H12" s="432"/>
      <c r="I12" s="494"/>
      <c r="J12" s="494"/>
      <c r="K12" s="494"/>
      <c r="L12" s="494"/>
      <c r="M12" s="495"/>
      <c r="N12" s="431" t="str">
        <f t="shared" si="0"/>
        <v>Salt</v>
      </c>
      <c r="O12" s="437"/>
      <c r="P12" s="437"/>
      <c r="Q12" s="437"/>
      <c r="R12" s="232"/>
      <c r="S12" s="161"/>
      <c r="T12" s="162">
        <f>X2*R12</f>
        <v>0</v>
      </c>
      <c r="U12" s="172">
        <f>(X2*R12)/AA12</f>
        <v>0</v>
      </c>
      <c r="V12" s="234"/>
      <c r="W12" s="165"/>
      <c r="X12" s="166">
        <f>U12/1</f>
        <v>0</v>
      </c>
      <c r="Y12" s="166"/>
      <c r="Z12" s="167">
        <f>(W12/18.9)*X12</f>
        <v>0</v>
      </c>
      <c r="AA12" s="168">
        <v>1</v>
      </c>
      <c r="AB12" s="169">
        <f>Z12/X2</f>
        <v>0</v>
      </c>
      <c r="AC12" s="170">
        <f>X2*AB12</f>
        <v>0</v>
      </c>
      <c r="AD12" s="103"/>
      <c r="AE12" s="103"/>
      <c r="AF12" s="103"/>
    </row>
    <row r="13" spans="1:32" ht="18.75" customHeight="1">
      <c r="A13" s="431" t="s">
        <v>310</v>
      </c>
      <c r="B13" s="432"/>
      <c r="C13" s="432"/>
      <c r="D13" s="433"/>
      <c r="E13" s="434" t="s">
        <v>229</v>
      </c>
      <c r="F13" s="435"/>
      <c r="G13" s="91"/>
      <c r="H13" s="432"/>
      <c r="I13" s="483"/>
      <c r="J13" s="483"/>
      <c r="K13" s="483"/>
      <c r="L13" s="483"/>
      <c r="M13" s="484"/>
      <c r="N13" s="429" t="str">
        <f t="shared" si="0"/>
        <v>Black Pepper, Ground</v>
      </c>
      <c r="O13" s="430"/>
      <c r="P13" s="430"/>
      <c r="Q13" s="430"/>
      <c r="R13" s="79"/>
      <c r="S13" s="161"/>
      <c r="T13" s="162">
        <f>X2*R13</f>
        <v>0</v>
      </c>
      <c r="U13" s="172">
        <f>(X2*R13)/AA13</f>
        <v>0</v>
      </c>
      <c r="V13" s="164"/>
      <c r="W13" s="165"/>
      <c r="X13" s="166">
        <f>U13/1</f>
        <v>0</v>
      </c>
      <c r="Y13" s="166"/>
      <c r="Z13" s="167">
        <f>(W13/5)*X13</f>
        <v>0</v>
      </c>
      <c r="AA13" s="168">
        <v>1</v>
      </c>
      <c r="AB13" s="169">
        <f>Z13/X2</f>
        <v>0</v>
      </c>
      <c r="AC13" s="170">
        <f>X2*AB13</f>
        <v>0</v>
      </c>
      <c r="AD13" s="103"/>
      <c r="AE13" s="103"/>
      <c r="AF13" s="103"/>
    </row>
    <row r="14" spans="1:32" ht="18.75" customHeight="1">
      <c r="A14" s="431"/>
      <c r="B14" s="432"/>
      <c r="C14" s="432"/>
      <c r="D14" s="433"/>
      <c r="E14" s="434"/>
      <c r="F14" s="435"/>
      <c r="G14" s="91"/>
      <c r="H14" s="432"/>
      <c r="I14" s="483"/>
      <c r="J14" s="483"/>
      <c r="K14" s="483"/>
      <c r="L14" s="483"/>
      <c r="M14" s="484"/>
      <c r="N14" s="429">
        <f t="shared" si="0"/>
        <v>0</v>
      </c>
      <c r="O14" s="430"/>
      <c r="P14" s="430"/>
      <c r="Q14" s="430"/>
      <c r="R14" s="79"/>
      <c r="S14" s="161"/>
      <c r="T14" s="162">
        <f>X2*R14</f>
        <v>0</v>
      </c>
      <c r="U14" s="172">
        <f>(X2*R14)/AA14</f>
        <v>0</v>
      </c>
      <c r="V14" s="164"/>
      <c r="W14" s="165"/>
      <c r="X14" s="166">
        <f>U14/1</f>
        <v>0</v>
      </c>
      <c r="Y14" s="166"/>
      <c r="Z14" s="167">
        <f>(W14/5)*X14</f>
        <v>0</v>
      </c>
      <c r="AA14" s="168">
        <v>1</v>
      </c>
      <c r="AB14" s="169">
        <f>Z14/X2</f>
        <v>0</v>
      </c>
      <c r="AC14" s="170">
        <f>X2*AB14</f>
        <v>0</v>
      </c>
      <c r="AD14" s="103"/>
      <c r="AE14" s="103"/>
      <c r="AF14" s="103"/>
    </row>
    <row r="15" spans="1:32" ht="18.75" customHeight="1">
      <c r="A15" s="431"/>
      <c r="B15" s="432"/>
      <c r="C15" s="432"/>
      <c r="D15" s="433"/>
      <c r="E15" s="434"/>
      <c r="F15" s="435"/>
      <c r="G15" s="91"/>
      <c r="H15" s="432"/>
      <c r="I15" s="483"/>
      <c r="J15" s="483"/>
      <c r="K15" s="483"/>
      <c r="L15" s="483"/>
      <c r="M15" s="484"/>
      <c r="N15" s="429"/>
      <c r="O15" s="430"/>
      <c r="P15" s="430"/>
      <c r="Q15" s="430"/>
      <c r="R15" s="79"/>
      <c r="S15" s="161"/>
      <c r="T15" s="162"/>
      <c r="U15" s="172"/>
      <c r="V15" s="164"/>
      <c r="W15" s="165"/>
      <c r="X15" s="166"/>
      <c r="Y15" s="166"/>
      <c r="Z15" s="167"/>
      <c r="AA15" s="168"/>
      <c r="AB15" s="169"/>
      <c r="AC15" s="170"/>
      <c r="AD15" s="103"/>
      <c r="AE15" s="103"/>
      <c r="AF15" s="103"/>
    </row>
    <row r="16" spans="1:32" ht="18.75" customHeight="1">
      <c r="A16" s="431"/>
      <c r="B16" s="432"/>
      <c r="C16" s="432"/>
      <c r="D16" s="433"/>
      <c r="E16" s="434"/>
      <c r="F16" s="435"/>
      <c r="G16" s="91"/>
      <c r="H16" s="432"/>
      <c r="I16" s="483"/>
      <c r="J16" s="483"/>
      <c r="K16" s="483"/>
      <c r="L16" s="483"/>
      <c r="M16" s="484"/>
      <c r="N16" s="429"/>
      <c r="O16" s="430"/>
      <c r="P16" s="430"/>
      <c r="Q16" s="430"/>
      <c r="R16" s="79"/>
      <c r="S16" s="161"/>
      <c r="T16" s="162"/>
      <c r="U16" s="172"/>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483"/>
      <c r="J17" s="483"/>
      <c r="K17" s="483"/>
      <c r="L17" s="483"/>
      <c r="M17" s="484"/>
      <c r="N17" s="429"/>
      <c r="O17" s="430"/>
      <c r="P17" s="430"/>
      <c r="Q17" s="430"/>
      <c r="R17" s="79"/>
      <c r="S17" s="161"/>
      <c r="T17" s="162"/>
      <c r="U17" s="172"/>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483"/>
      <c r="J18" s="483"/>
      <c r="K18" s="483"/>
      <c r="L18" s="483"/>
      <c r="M18" s="484"/>
      <c r="N18" s="429"/>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483"/>
      <c r="J19" s="483"/>
      <c r="K19" s="483"/>
      <c r="L19" s="483"/>
      <c r="M19" s="484"/>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83"/>
      <c r="J20" s="483"/>
      <c r="K20" s="483"/>
      <c r="L20" s="483"/>
      <c r="M20" s="484"/>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422" t="s">
        <v>47</v>
      </c>
      <c r="O23" s="423"/>
      <c r="P23" s="423"/>
      <c r="Q23" s="424"/>
      <c r="R23" s="425" t="s">
        <v>7</v>
      </c>
      <c r="S23" s="424"/>
      <c r="T23" s="424"/>
      <c r="U23" s="424"/>
      <c r="V23" s="424"/>
      <c r="W23" s="424"/>
      <c r="X23" s="424"/>
      <c r="Y23" s="424"/>
      <c r="Z23" s="424"/>
      <c r="AA23" s="424"/>
      <c r="AB23" s="424"/>
      <c r="AC23" s="115">
        <f>ROUNDUP(SUM(AC6:AC22),5)</f>
        <v>30.54845</v>
      </c>
      <c r="AD23" s="103"/>
      <c r="AE23" s="103"/>
      <c r="AF23" s="103"/>
    </row>
    <row r="24" spans="1:32" ht="20.25" customHeight="1">
      <c r="A24" s="478" t="s">
        <v>45</v>
      </c>
      <c r="B24" s="479"/>
      <c r="C24" s="479"/>
      <c r="D24" s="479"/>
      <c r="E24" s="479"/>
      <c r="F24" s="479"/>
      <c r="G24" s="479"/>
      <c r="H24" s="479"/>
      <c r="I24" s="479"/>
      <c r="J24" s="479"/>
      <c r="K24" s="480"/>
      <c r="L24" s="116"/>
      <c r="M24" s="116"/>
      <c r="N24" s="524"/>
      <c r="O24" s="525"/>
      <c r="P24" s="525"/>
      <c r="Q24" s="525"/>
      <c r="R24" s="134"/>
      <c r="S24" s="134"/>
      <c r="T24" s="134"/>
      <c r="U24" s="134"/>
      <c r="V24" s="134"/>
      <c r="W24" s="135" t="s">
        <v>9</v>
      </c>
      <c r="X24" s="135"/>
      <c r="Y24" s="135"/>
      <c r="Z24" s="135"/>
      <c r="AA24" s="135"/>
      <c r="AB24" s="135"/>
      <c r="AC24" s="117">
        <f>ROUND(AC23*10/100,5)</f>
        <v>3.05485</v>
      </c>
      <c r="AD24" s="103"/>
      <c r="AE24" s="103"/>
      <c r="AF24" s="103"/>
    </row>
    <row r="25" spans="1:32" ht="30" customHeight="1" thickBot="1">
      <c r="A25" s="409" t="s">
        <v>42</v>
      </c>
      <c r="B25" s="481"/>
      <c r="C25" s="481"/>
      <c r="D25" s="481"/>
      <c r="E25" s="481"/>
      <c r="F25" s="218"/>
      <c r="G25" s="411" t="s">
        <v>46</v>
      </c>
      <c r="H25" s="411"/>
      <c r="I25" s="411" t="s">
        <v>243</v>
      </c>
      <c r="J25" s="481"/>
      <c r="K25" s="482"/>
      <c r="L25" s="218"/>
      <c r="M25" s="218"/>
      <c r="N25" s="119"/>
      <c r="O25" s="217"/>
      <c r="P25" s="507"/>
      <c r="Q25" s="507"/>
      <c r="R25" s="138"/>
      <c r="S25" s="138"/>
      <c r="T25" s="138"/>
      <c r="U25" s="138"/>
      <c r="V25" s="138"/>
      <c r="W25" s="139" t="s">
        <v>6</v>
      </c>
      <c r="X25" s="139"/>
      <c r="Y25" s="139"/>
      <c r="Z25" s="139"/>
      <c r="AA25" s="139"/>
      <c r="AB25" s="139"/>
      <c r="AC25" s="120">
        <f>AC23+AC24</f>
        <v>33.6033</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393" t="s">
        <v>40</v>
      </c>
      <c r="H27" s="393"/>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0.33603299999999997</v>
      </c>
      <c r="AD27" s="122"/>
      <c r="AE27" s="122"/>
      <c r="AF27" s="122"/>
    </row>
    <row r="28" spans="1:32" ht="37.5" customHeight="1">
      <c r="A28" s="22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33.6033</v>
      </c>
      <c r="Q29" s="126">
        <v>0</v>
      </c>
      <c r="R29" s="387">
        <f>P29+Q29</f>
        <v>33.6033</v>
      </c>
      <c r="S29" s="388"/>
      <c r="T29" s="127"/>
      <c r="U29" s="128"/>
      <c r="V29" s="128"/>
      <c r="W29" s="119"/>
      <c r="X29" s="129">
        <f>AC27/AA29</f>
        <v>1.12011</v>
      </c>
      <c r="Y29" s="129"/>
      <c r="Z29" s="129"/>
      <c r="AA29" s="130">
        <v>0.3</v>
      </c>
      <c r="AB29" s="389">
        <f ca="1">NOW()</f>
        <v>41359.56477372685</v>
      </c>
      <c r="AC29" s="390"/>
    </row>
  </sheetData>
  <sheetProtection/>
  <mergeCells count="108">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I3:K3"/>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30.281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241</v>
      </c>
      <c r="D2" s="469"/>
      <c r="E2" s="469"/>
      <c r="F2" s="469"/>
      <c r="G2" s="469"/>
      <c r="H2" s="214" t="s">
        <v>55</v>
      </c>
      <c r="I2" s="151">
        <v>100</v>
      </c>
      <c r="J2" s="214" t="s">
        <v>48</v>
      </c>
      <c r="K2" s="152" t="s">
        <v>63</v>
      </c>
      <c r="L2" s="152"/>
      <c r="M2" s="153"/>
      <c r="N2" s="508" t="s">
        <v>17</v>
      </c>
      <c r="O2" s="508"/>
      <c r="P2" s="471" t="str">
        <f>C2</f>
        <v>Bleu Cheese Stuffed Figs</v>
      </c>
      <c r="Q2" s="471"/>
      <c r="R2" s="471"/>
      <c r="S2" s="471"/>
      <c r="T2" s="472"/>
      <c r="U2" s="77"/>
      <c r="V2" s="77"/>
      <c r="W2" s="214" t="s">
        <v>55</v>
      </c>
      <c r="X2" s="78">
        <f>I2</f>
        <v>100</v>
      </c>
      <c r="Y2" s="79"/>
      <c r="Z2" s="80" t="s">
        <v>53</v>
      </c>
      <c r="AA2" s="518" t="str">
        <f>K2</f>
        <v>1 each</v>
      </c>
      <c r="AB2" s="398"/>
      <c r="AC2" s="398"/>
      <c r="AD2" s="84"/>
      <c r="AE2" s="84"/>
      <c r="AF2" s="84"/>
      <c r="AG2" s="83"/>
      <c r="AH2" s="83"/>
    </row>
    <row r="3" spans="1:34" ht="11.25" customHeight="1">
      <c r="A3" s="212"/>
      <c r="B3" s="230"/>
      <c r="C3" s="519"/>
      <c r="D3" s="520"/>
      <c r="E3" s="520"/>
      <c r="F3" s="520"/>
      <c r="G3" s="520"/>
      <c r="H3" s="231"/>
      <c r="I3" s="437"/>
      <c r="J3" s="528"/>
      <c r="K3" s="528"/>
      <c r="L3" s="85"/>
      <c r="M3" s="86"/>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444</v>
      </c>
      <c r="B6" s="444"/>
      <c r="C6" s="444"/>
      <c r="D6" s="445"/>
      <c r="E6" s="446" t="s">
        <v>457</v>
      </c>
      <c r="F6" s="447"/>
      <c r="G6" s="91">
        <v>1</v>
      </c>
      <c r="H6" s="444" t="s">
        <v>449</v>
      </c>
      <c r="I6" s="500"/>
      <c r="J6" s="500"/>
      <c r="K6" s="500"/>
      <c r="L6" s="500"/>
      <c r="M6" s="501"/>
      <c r="N6" s="429" t="str">
        <f aca="true" t="shared" si="0" ref="N6:N11">A6</f>
        <v>Black mission figs, fresh</v>
      </c>
      <c r="O6" s="430"/>
      <c r="P6" s="430"/>
      <c r="Q6" s="430"/>
      <c r="R6" s="232">
        <v>0.1</v>
      </c>
      <c r="S6" s="161" t="s">
        <v>80</v>
      </c>
      <c r="T6" s="162">
        <f>R6*X2</f>
        <v>10</v>
      </c>
      <c r="U6" s="172">
        <f>(X2*R6)/AA6</f>
        <v>10</v>
      </c>
      <c r="V6" s="164" t="s">
        <v>165</v>
      </c>
      <c r="W6" s="165">
        <v>121.08</v>
      </c>
      <c r="X6" s="166">
        <f>U6/1</f>
        <v>10</v>
      </c>
      <c r="Y6" s="166" t="s">
        <v>80</v>
      </c>
      <c r="Z6" s="167">
        <f>(W6/5)*X6</f>
        <v>242.16000000000003</v>
      </c>
      <c r="AA6" s="168">
        <v>1</v>
      </c>
      <c r="AB6" s="169">
        <f>Z6/X2</f>
        <v>2.4216</v>
      </c>
      <c r="AC6" s="170">
        <f>X2*AB6</f>
        <v>242.16000000000003</v>
      </c>
      <c r="AD6" s="103"/>
      <c r="AE6" s="103"/>
      <c r="AF6" s="103"/>
    </row>
    <row r="7" spans="1:32" ht="18.75" customHeight="1">
      <c r="A7" s="431" t="s">
        <v>445</v>
      </c>
      <c r="B7" s="432"/>
      <c r="C7" s="432"/>
      <c r="D7" s="433"/>
      <c r="E7" s="436" t="s">
        <v>446</v>
      </c>
      <c r="F7" s="435"/>
      <c r="G7" s="91">
        <v>2</v>
      </c>
      <c r="H7" s="432" t="s">
        <v>450</v>
      </c>
      <c r="I7" s="483"/>
      <c r="J7" s="483"/>
      <c r="K7" s="483"/>
      <c r="L7" s="483"/>
      <c r="M7" s="484"/>
      <c r="N7" s="429" t="str">
        <f t="shared" si="0"/>
        <v>Bleu cheese </v>
      </c>
      <c r="O7" s="430"/>
      <c r="P7" s="430"/>
      <c r="Q7" s="430"/>
      <c r="R7" s="232">
        <v>0.24</v>
      </c>
      <c r="S7" s="161" t="s">
        <v>106</v>
      </c>
      <c r="T7" s="176">
        <f>X2*R7</f>
        <v>24</v>
      </c>
      <c r="U7" s="172">
        <f>(X2*R7)/AA7</f>
        <v>24</v>
      </c>
      <c r="V7" s="164" t="s">
        <v>165</v>
      </c>
      <c r="W7" s="165">
        <v>15.82</v>
      </c>
      <c r="X7" s="166">
        <f>U7/16</f>
        <v>1.5</v>
      </c>
      <c r="Y7" s="166" t="s">
        <v>80</v>
      </c>
      <c r="Z7" s="167">
        <f>(W7/5)*X7</f>
        <v>4.746</v>
      </c>
      <c r="AA7" s="168">
        <v>1</v>
      </c>
      <c r="AB7" s="169">
        <f>Z7/X2</f>
        <v>0.04746</v>
      </c>
      <c r="AC7" s="170">
        <f>X2*AB7</f>
        <v>4.746</v>
      </c>
      <c r="AD7" s="103"/>
      <c r="AE7" s="103"/>
      <c r="AF7" s="103"/>
    </row>
    <row r="8" spans="1:32" ht="19.5" customHeight="1">
      <c r="A8" s="431" t="s">
        <v>458</v>
      </c>
      <c r="B8" s="432"/>
      <c r="C8" s="432"/>
      <c r="D8" s="433"/>
      <c r="E8" s="434" t="s">
        <v>459</v>
      </c>
      <c r="F8" s="435"/>
      <c r="G8" s="91">
        <v>3</v>
      </c>
      <c r="H8" s="432" t="s">
        <v>451</v>
      </c>
      <c r="I8" s="483"/>
      <c r="J8" s="483"/>
      <c r="K8" s="483"/>
      <c r="L8" s="483"/>
      <c r="M8" s="484"/>
      <c r="N8" s="429" t="str">
        <f>A8</f>
        <v>Bacon,  thin sliced strips, all natural (18-22 / lb)</v>
      </c>
      <c r="O8" s="430"/>
      <c r="P8" s="430"/>
      <c r="Q8" s="430"/>
      <c r="R8" s="79">
        <v>0.05</v>
      </c>
      <c r="S8" s="161" t="s">
        <v>80</v>
      </c>
      <c r="T8" s="162">
        <f>X2*R8</f>
        <v>5</v>
      </c>
      <c r="U8" s="172">
        <f>(X2*R8)/AA8</f>
        <v>5</v>
      </c>
      <c r="V8" s="164" t="s">
        <v>165</v>
      </c>
      <c r="W8" s="165">
        <v>41.9</v>
      </c>
      <c r="X8" s="166">
        <f>U8/1</f>
        <v>5</v>
      </c>
      <c r="Y8" s="166" t="s">
        <v>80</v>
      </c>
      <c r="Z8" s="167">
        <f>(W8/5)*X8</f>
        <v>41.89999999999999</v>
      </c>
      <c r="AA8" s="168">
        <v>1</v>
      </c>
      <c r="AB8" s="169">
        <f>Z8/X2</f>
        <v>0.41899999999999993</v>
      </c>
      <c r="AC8" s="170">
        <f>X2*AB8</f>
        <v>41.89999999999999</v>
      </c>
      <c r="AD8" s="103"/>
      <c r="AE8" s="103"/>
      <c r="AF8" s="103"/>
    </row>
    <row r="9" spans="1:32" ht="18.75" customHeight="1">
      <c r="A9" s="431" t="s">
        <v>447</v>
      </c>
      <c r="B9" s="432"/>
      <c r="C9" s="432"/>
      <c r="D9" s="433"/>
      <c r="E9" s="436" t="s">
        <v>298</v>
      </c>
      <c r="F9" s="435"/>
      <c r="G9" s="91">
        <v>4</v>
      </c>
      <c r="H9" s="432" t="s">
        <v>452</v>
      </c>
      <c r="I9" s="483"/>
      <c r="J9" s="483"/>
      <c r="K9" s="483"/>
      <c r="L9" s="483"/>
      <c r="M9" s="484"/>
      <c r="N9" s="429" t="str">
        <f t="shared" si="0"/>
        <v>Almonds, raw, roughly chopped</v>
      </c>
      <c r="O9" s="430"/>
      <c r="P9" s="430"/>
      <c r="Q9" s="430"/>
      <c r="R9" s="79">
        <v>0.015</v>
      </c>
      <c r="S9" s="161" t="s">
        <v>67</v>
      </c>
      <c r="T9" s="162">
        <f>X2*R9</f>
        <v>1.5</v>
      </c>
      <c r="U9" s="172">
        <f>(X2*R9)/AA9</f>
        <v>1.5</v>
      </c>
      <c r="V9" s="164" t="s">
        <v>165</v>
      </c>
      <c r="W9" s="165">
        <v>57.1</v>
      </c>
      <c r="X9" s="166">
        <f>(U9/2)/1</f>
        <v>0.75</v>
      </c>
      <c r="Y9" s="166" t="s">
        <v>80</v>
      </c>
      <c r="Z9" s="167">
        <f>(W9/5)*X9</f>
        <v>8.565</v>
      </c>
      <c r="AA9" s="168">
        <v>1</v>
      </c>
      <c r="AB9" s="169">
        <f>Z9/X2</f>
        <v>0.08564999999999999</v>
      </c>
      <c r="AC9" s="170">
        <f>X2*AB9</f>
        <v>8.565</v>
      </c>
      <c r="AD9" s="103"/>
      <c r="AE9" s="103"/>
      <c r="AF9" s="103"/>
    </row>
    <row r="10" spans="1:32" ht="18.75" customHeight="1">
      <c r="A10" s="431" t="s">
        <v>448</v>
      </c>
      <c r="B10" s="432"/>
      <c r="C10" s="432"/>
      <c r="D10" s="433"/>
      <c r="E10" s="436" t="s">
        <v>58</v>
      </c>
      <c r="F10" s="435"/>
      <c r="G10" s="91">
        <v>5</v>
      </c>
      <c r="H10" s="432" t="s">
        <v>453</v>
      </c>
      <c r="I10" s="494"/>
      <c r="J10" s="494"/>
      <c r="K10" s="494"/>
      <c r="L10" s="494"/>
      <c r="M10" s="495"/>
      <c r="N10" s="429" t="str">
        <f t="shared" si="0"/>
        <v>Honey</v>
      </c>
      <c r="O10" s="430"/>
      <c r="P10" s="430"/>
      <c r="Q10" s="430"/>
      <c r="R10" s="174">
        <v>0.02</v>
      </c>
      <c r="S10" s="161" t="s">
        <v>67</v>
      </c>
      <c r="T10" s="162">
        <f>X2*R10</f>
        <v>2</v>
      </c>
      <c r="U10" s="172">
        <f>(X2*R10)/AA10</f>
        <v>2</v>
      </c>
      <c r="V10" s="164" t="s">
        <v>165</v>
      </c>
      <c r="W10" s="165">
        <v>11.7</v>
      </c>
      <c r="X10" s="166">
        <f>(U10/2)/1</f>
        <v>1</v>
      </c>
      <c r="Y10" s="166" t="s">
        <v>80</v>
      </c>
      <c r="Z10" s="167">
        <f>(W10/5)*X10</f>
        <v>2.34</v>
      </c>
      <c r="AA10" s="168">
        <v>1</v>
      </c>
      <c r="AB10" s="169">
        <f>Z10/X2</f>
        <v>0.023399999999999997</v>
      </c>
      <c r="AC10" s="170">
        <f>X2*AB10</f>
        <v>2.34</v>
      </c>
      <c r="AD10" s="103"/>
      <c r="AE10" s="103"/>
      <c r="AF10" s="103"/>
    </row>
    <row r="11" spans="1:32" ht="18.75" customHeight="1">
      <c r="A11" s="431"/>
      <c r="B11" s="432"/>
      <c r="C11" s="432"/>
      <c r="D11" s="433"/>
      <c r="E11" s="436"/>
      <c r="F11" s="435"/>
      <c r="G11" s="91">
        <v>6</v>
      </c>
      <c r="H11" s="432" t="s">
        <v>454</v>
      </c>
      <c r="I11" s="494"/>
      <c r="J11" s="494"/>
      <c r="K11" s="494"/>
      <c r="L11" s="494"/>
      <c r="M11" s="495"/>
      <c r="N11" s="438">
        <f t="shared" si="0"/>
        <v>0</v>
      </c>
      <c r="O11" s="439"/>
      <c r="P11" s="439"/>
      <c r="Q11" s="439"/>
      <c r="R11" s="79"/>
      <c r="S11" s="161"/>
      <c r="T11" s="162">
        <f>X2*R11</f>
        <v>0</v>
      </c>
      <c r="U11" s="172">
        <f>(X2*R11)/AA11</f>
        <v>0</v>
      </c>
      <c r="V11" s="233"/>
      <c r="W11" s="165"/>
      <c r="X11" s="166">
        <f>U11/1</f>
        <v>0</v>
      </c>
      <c r="Y11" s="166"/>
      <c r="Z11" s="167">
        <f>(W11/10)*X11</f>
        <v>0</v>
      </c>
      <c r="AA11" s="168">
        <v>0.85</v>
      </c>
      <c r="AB11" s="169">
        <f>Z11/X2</f>
        <v>0</v>
      </c>
      <c r="AC11" s="170">
        <f>X2*AB11</f>
        <v>0</v>
      </c>
      <c r="AD11" s="103"/>
      <c r="AE11" s="103"/>
      <c r="AF11" s="103"/>
    </row>
    <row r="12" spans="1:32" ht="18.75" customHeight="1">
      <c r="A12" s="431"/>
      <c r="B12" s="432"/>
      <c r="C12" s="432"/>
      <c r="D12" s="433"/>
      <c r="E12" s="436"/>
      <c r="F12" s="435"/>
      <c r="G12" s="91">
        <v>7</v>
      </c>
      <c r="H12" s="432" t="s">
        <v>455</v>
      </c>
      <c r="I12" s="494"/>
      <c r="J12" s="494"/>
      <c r="K12" s="494"/>
      <c r="L12" s="494"/>
      <c r="M12" s="495"/>
      <c r="N12" s="431"/>
      <c r="O12" s="437"/>
      <c r="P12" s="437"/>
      <c r="Q12" s="437"/>
      <c r="R12" s="232"/>
      <c r="S12" s="161"/>
      <c r="T12" s="162"/>
      <c r="U12" s="172"/>
      <c r="V12" s="234"/>
      <c r="W12" s="165"/>
      <c r="X12" s="166"/>
      <c r="Y12" s="166"/>
      <c r="Z12" s="167"/>
      <c r="AA12" s="168"/>
      <c r="AB12" s="169"/>
      <c r="AC12" s="170"/>
      <c r="AD12" s="103"/>
      <c r="AE12" s="103"/>
      <c r="AF12" s="103"/>
    </row>
    <row r="13" spans="1:32" ht="18.75" customHeight="1">
      <c r="A13" s="431"/>
      <c r="B13" s="432"/>
      <c r="C13" s="432"/>
      <c r="D13" s="433"/>
      <c r="E13" s="434"/>
      <c r="F13" s="435"/>
      <c r="G13" s="91"/>
      <c r="H13" s="432"/>
      <c r="I13" s="483"/>
      <c r="J13" s="483"/>
      <c r="K13" s="483"/>
      <c r="L13" s="483"/>
      <c r="M13" s="484"/>
      <c r="N13" s="429"/>
      <c r="O13" s="430"/>
      <c r="P13" s="430"/>
      <c r="Q13" s="430"/>
      <c r="R13" s="79"/>
      <c r="S13" s="161"/>
      <c r="T13" s="162"/>
      <c r="U13" s="172"/>
      <c r="V13" s="164"/>
      <c r="W13" s="165"/>
      <c r="X13" s="166"/>
      <c r="Y13" s="166"/>
      <c r="Z13" s="167"/>
      <c r="AA13" s="168"/>
      <c r="AB13" s="169"/>
      <c r="AC13" s="170"/>
      <c r="AD13" s="103"/>
      <c r="AE13" s="103"/>
      <c r="AF13" s="103"/>
    </row>
    <row r="14" spans="1:32" ht="18.75" customHeight="1">
      <c r="A14" s="431"/>
      <c r="B14" s="432"/>
      <c r="C14" s="432"/>
      <c r="D14" s="433"/>
      <c r="E14" s="434"/>
      <c r="F14" s="435"/>
      <c r="G14" s="91"/>
      <c r="H14" s="432"/>
      <c r="I14" s="483"/>
      <c r="J14" s="483"/>
      <c r="K14" s="483"/>
      <c r="L14" s="483"/>
      <c r="M14" s="484"/>
      <c r="N14" s="429"/>
      <c r="O14" s="430"/>
      <c r="P14" s="430"/>
      <c r="Q14" s="430"/>
      <c r="R14" s="79"/>
      <c r="S14" s="161"/>
      <c r="T14" s="162"/>
      <c r="U14" s="172"/>
      <c r="V14" s="164"/>
      <c r="W14" s="165"/>
      <c r="X14" s="166"/>
      <c r="Y14" s="166"/>
      <c r="Z14" s="167"/>
      <c r="AA14" s="168"/>
      <c r="AB14" s="169"/>
      <c r="AC14" s="170"/>
      <c r="AD14" s="103"/>
      <c r="AE14" s="103"/>
      <c r="AF14" s="103"/>
    </row>
    <row r="15" spans="1:32" ht="18.75" customHeight="1">
      <c r="A15" s="431"/>
      <c r="B15" s="432"/>
      <c r="C15" s="432"/>
      <c r="D15" s="433"/>
      <c r="E15" s="434"/>
      <c r="F15" s="435"/>
      <c r="G15" s="91"/>
      <c r="H15" s="432"/>
      <c r="I15" s="483"/>
      <c r="J15" s="483"/>
      <c r="K15" s="483"/>
      <c r="L15" s="483"/>
      <c r="M15" s="484"/>
      <c r="N15" s="429"/>
      <c r="O15" s="430"/>
      <c r="P15" s="430"/>
      <c r="Q15" s="430"/>
      <c r="R15" s="79"/>
      <c r="S15" s="161"/>
      <c r="T15" s="162"/>
      <c r="U15" s="172"/>
      <c r="V15" s="164"/>
      <c r="W15" s="165"/>
      <c r="X15" s="166"/>
      <c r="Y15" s="166"/>
      <c r="Z15" s="167"/>
      <c r="AA15" s="168"/>
      <c r="AB15" s="169"/>
      <c r="AC15" s="170"/>
      <c r="AD15" s="103"/>
      <c r="AE15" s="103"/>
      <c r="AF15" s="103"/>
    </row>
    <row r="16" spans="1:32" ht="18.75" customHeight="1">
      <c r="A16" s="431"/>
      <c r="B16" s="432"/>
      <c r="C16" s="432"/>
      <c r="D16" s="433"/>
      <c r="E16" s="434"/>
      <c r="F16" s="435"/>
      <c r="G16" s="91"/>
      <c r="H16" s="432"/>
      <c r="I16" s="483"/>
      <c r="J16" s="483"/>
      <c r="K16" s="483"/>
      <c r="L16" s="483"/>
      <c r="M16" s="484"/>
      <c r="N16" s="429"/>
      <c r="O16" s="430"/>
      <c r="P16" s="430"/>
      <c r="Q16" s="430"/>
      <c r="R16" s="79"/>
      <c r="S16" s="161"/>
      <c r="T16" s="162"/>
      <c r="U16" s="172"/>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483"/>
      <c r="J17" s="483"/>
      <c r="K17" s="483"/>
      <c r="L17" s="483"/>
      <c r="M17" s="484"/>
      <c r="N17" s="429"/>
      <c r="O17" s="430"/>
      <c r="P17" s="430"/>
      <c r="Q17" s="430"/>
      <c r="R17" s="79"/>
      <c r="S17" s="161"/>
      <c r="T17" s="162"/>
      <c r="U17" s="172"/>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483"/>
      <c r="J18" s="483"/>
      <c r="K18" s="483"/>
      <c r="L18" s="483"/>
      <c r="M18" s="484"/>
      <c r="N18" s="429"/>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483"/>
      <c r="J19" s="483"/>
      <c r="K19" s="483"/>
      <c r="L19" s="483"/>
      <c r="M19" s="484"/>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83"/>
      <c r="J20" s="483"/>
      <c r="K20" s="483"/>
      <c r="L20" s="483"/>
      <c r="M20" s="484"/>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422" t="s">
        <v>47</v>
      </c>
      <c r="O23" s="423"/>
      <c r="P23" s="423"/>
      <c r="Q23" s="424"/>
      <c r="R23" s="425" t="s">
        <v>7</v>
      </c>
      <c r="S23" s="424"/>
      <c r="T23" s="424"/>
      <c r="U23" s="424"/>
      <c r="V23" s="424"/>
      <c r="W23" s="424"/>
      <c r="X23" s="424"/>
      <c r="Y23" s="424"/>
      <c r="Z23" s="424"/>
      <c r="AA23" s="424"/>
      <c r="AB23" s="424"/>
      <c r="AC23" s="115">
        <f>ROUNDUP(SUM(AC6:AC22),5)</f>
        <v>299.711</v>
      </c>
      <c r="AD23" s="103"/>
      <c r="AE23" s="103"/>
      <c r="AF23" s="103"/>
    </row>
    <row r="24" spans="1:32" ht="20.25" customHeight="1">
      <c r="A24" s="478" t="s">
        <v>45</v>
      </c>
      <c r="B24" s="479"/>
      <c r="C24" s="479"/>
      <c r="D24" s="479"/>
      <c r="E24" s="479"/>
      <c r="F24" s="479"/>
      <c r="G24" s="479"/>
      <c r="H24" s="479"/>
      <c r="I24" s="479"/>
      <c r="J24" s="479"/>
      <c r="K24" s="480"/>
      <c r="L24" s="116"/>
      <c r="M24" s="116"/>
      <c r="N24" s="524"/>
      <c r="O24" s="525"/>
      <c r="P24" s="525"/>
      <c r="Q24" s="525"/>
      <c r="R24" s="134"/>
      <c r="S24" s="134"/>
      <c r="T24" s="134"/>
      <c r="U24" s="134"/>
      <c r="V24" s="134"/>
      <c r="W24" s="135" t="s">
        <v>9</v>
      </c>
      <c r="X24" s="135"/>
      <c r="Y24" s="135"/>
      <c r="Z24" s="135"/>
      <c r="AA24" s="135"/>
      <c r="AB24" s="135"/>
      <c r="AC24" s="117">
        <f>ROUND(AC23*10/100,5)</f>
        <v>29.9711</v>
      </c>
      <c r="AD24" s="103"/>
      <c r="AE24" s="103"/>
      <c r="AF24" s="103"/>
    </row>
    <row r="25" spans="1:32" ht="30" customHeight="1" thickBot="1">
      <c r="A25" s="409" t="s">
        <v>42</v>
      </c>
      <c r="B25" s="481"/>
      <c r="C25" s="481"/>
      <c r="D25" s="481"/>
      <c r="E25" s="481"/>
      <c r="F25" s="218"/>
      <c r="G25" s="411" t="s">
        <v>46</v>
      </c>
      <c r="H25" s="411"/>
      <c r="I25" s="411" t="s">
        <v>456</v>
      </c>
      <c r="J25" s="481"/>
      <c r="K25" s="482"/>
      <c r="L25" s="218"/>
      <c r="M25" s="218"/>
      <c r="N25" s="119"/>
      <c r="O25" s="217"/>
      <c r="P25" s="507"/>
      <c r="Q25" s="507"/>
      <c r="R25" s="138"/>
      <c r="S25" s="138"/>
      <c r="T25" s="138"/>
      <c r="U25" s="138"/>
      <c r="V25" s="138"/>
      <c r="W25" s="139" t="s">
        <v>6</v>
      </c>
      <c r="X25" s="139"/>
      <c r="Y25" s="139"/>
      <c r="Z25" s="139"/>
      <c r="AA25" s="139"/>
      <c r="AB25" s="139"/>
      <c r="AC25" s="120">
        <f>AC23+AC24</f>
        <v>329.6821</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393" t="s">
        <v>40</v>
      </c>
      <c r="H27" s="393"/>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3.296821</v>
      </c>
      <c r="AD27" s="122"/>
      <c r="AE27" s="122"/>
      <c r="AF27" s="122"/>
    </row>
    <row r="28" spans="1:32" ht="37.5" customHeight="1">
      <c r="A28" s="22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329.6821</v>
      </c>
      <c r="Q29" s="126">
        <v>0</v>
      </c>
      <c r="R29" s="387">
        <f>P29+Q29</f>
        <v>329.6821</v>
      </c>
      <c r="S29" s="388"/>
      <c r="T29" s="239"/>
      <c r="U29" s="128"/>
      <c r="V29" s="128"/>
      <c r="W29" s="119"/>
      <c r="X29" s="129">
        <f>AC27/AA29</f>
        <v>10.989403333333334</v>
      </c>
      <c r="Y29" s="129"/>
      <c r="Z29" s="129"/>
      <c r="AA29" s="130">
        <v>0.3</v>
      </c>
      <c r="AB29" s="389">
        <f ca="1">NOW()</f>
        <v>41359.56477372685</v>
      </c>
      <c r="AC29" s="390"/>
    </row>
  </sheetData>
  <sheetProtection/>
  <mergeCells count="108">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I3:K3"/>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29"/>
  <sheetViews>
    <sheetView zoomScalePageLayoutView="0" workbookViewId="0" topLeftCell="A1">
      <selection activeCell="I20" sqref="I20"/>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356" t="s">
        <v>0</v>
      </c>
      <c r="B1" s="372"/>
      <c r="C1" s="372"/>
      <c r="D1" s="372"/>
      <c r="E1" s="372"/>
      <c r="F1" s="372"/>
      <c r="G1" s="372"/>
      <c r="H1" s="372"/>
      <c r="I1" s="372"/>
      <c r="J1" s="372"/>
      <c r="K1" s="372"/>
      <c r="L1" s="372"/>
      <c r="M1" s="372"/>
      <c r="N1" s="372"/>
      <c r="O1" s="372"/>
      <c r="P1" s="2"/>
      <c r="Q1" s="2"/>
      <c r="R1" s="2"/>
      <c r="S1" s="2"/>
      <c r="T1" s="2"/>
      <c r="U1" s="2"/>
      <c r="V1" s="1"/>
      <c r="W1" s="1"/>
    </row>
    <row r="2" spans="1:23" ht="27.75" customHeight="1" thickBot="1">
      <c r="A2" s="357" t="s">
        <v>17</v>
      </c>
      <c r="B2" s="357"/>
      <c r="C2" s="359"/>
      <c r="D2" s="359"/>
      <c r="E2" s="359"/>
      <c r="F2" s="359"/>
      <c r="G2" s="49"/>
      <c r="H2" s="4" t="s">
        <v>27</v>
      </c>
      <c r="I2" s="25">
        <v>1</v>
      </c>
      <c r="J2" s="11"/>
      <c r="K2" s="11"/>
      <c r="L2" s="3" t="s">
        <v>25</v>
      </c>
      <c r="M2" s="3"/>
      <c r="N2" s="5"/>
      <c r="O2" s="373"/>
      <c r="P2" s="374"/>
      <c r="Q2" s="374"/>
      <c r="R2" s="374"/>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40" t="s">
        <v>1</v>
      </c>
      <c r="B4" s="341"/>
      <c r="C4" s="341"/>
      <c r="D4" s="341"/>
      <c r="E4" s="46" t="s">
        <v>31</v>
      </c>
      <c r="F4" s="44" t="s">
        <v>2</v>
      </c>
      <c r="G4" s="46" t="s">
        <v>30</v>
      </c>
      <c r="H4" s="46" t="s">
        <v>12</v>
      </c>
      <c r="I4" s="46" t="s">
        <v>11</v>
      </c>
      <c r="J4" s="45" t="s">
        <v>13</v>
      </c>
      <c r="K4" s="45" t="s">
        <v>3</v>
      </c>
      <c r="L4" s="47" t="s">
        <v>18</v>
      </c>
      <c r="M4" s="48"/>
      <c r="N4" s="375" t="s">
        <v>4</v>
      </c>
      <c r="O4" s="376"/>
      <c r="P4" s="376"/>
      <c r="Q4" s="376"/>
      <c r="R4" s="377"/>
      <c r="S4" s="2"/>
      <c r="T4" s="2"/>
      <c r="U4" s="2"/>
    </row>
    <row r="5" spans="1:21" ht="18.75" customHeight="1">
      <c r="A5" s="338"/>
      <c r="B5" s="339"/>
      <c r="C5" s="339"/>
      <c r="D5" s="339"/>
      <c r="E5" s="40"/>
      <c r="F5" s="41"/>
      <c r="G5" s="51">
        <f>I2*E5</f>
        <v>0</v>
      </c>
      <c r="H5" s="42">
        <v>0</v>
      </c>
      <c r="I5" s="41">
        <v>0</v>
      </c>
      <c r="J5" s="43">
        <v>0</v>
      </c>
      <c r="K5" s="52" t="e">
        <f>H5/(I5*J5)</f>
        <v>#DIV/0!</v>
      </c>
      <c r="L5" s="53" t="e">
        <f>ROUND(G5*K5,5)</f>
        <v>#DIV/0!</v>
      </c>
      <c r="M5" s="18">
        <v>1</v>
      </c>
      <c r="N5" s="380"/>
      <c r="O5" s="381"/>
      <c r="P5" s="381"/>
      <c r="Q5" s="381"/>
      <c r="R5" s="382"/>
      <c r="S5" s="12"/>
      <c r="T5" s="12"/>
      <c r="U5" s="12"/>
    </row>
    <row r="6" spans="1:21" ht="18.75" customHeight="1">
      <c r="A6" s="338"/>
      <c r="B6" s="339"/>
      <c r="C6" s="339"/>
      <c r="D6" s="339"/>
      <c r="E6" s="40"/>
      <c r="F6" s="41"/>
      <c r="G6" s="51">
        <f>I2*E6</f>
        <v>0</v>
      </c>
      <c r="H6" s="42">
        <v>0</v>
      </c>
      <c r="I6" s="41"/>
      <c r="J6" s="43"/>
      <c r="K6" s="52" t="e">
        <f aca="true" t="shared" si="0" ref="K6:K22">H6/(I6*J6)</f>
        <v>#DIV/0!</v>
      </c>
      <c r="L6" s="53" t="e">
        <f aca="true" t="shared" si="1" ref="L6:L22">ROUND(G6*K6,5)</f>
        <v>#DIV/0!</v>
      </c>
      <c r="M6" s="18">
        <v>2</v>
      </c>
      <c r="N6" s="380"/>
      <c r="O6" s="381"/>
      <c r="P6" s="381"/>
      <c r="Q6" s="381"/>
      <c r="R6" s="382"/>
      <c r="S6" s="12"/>
      <c r="T6" s="12"/>
      <c r="U6" s="12"/>
    </row>
    <row r="7" spans="1:21" ht="18.75" customHeight="1">
      <c r="A7" s="338"/>
      <c r="B7" s="339"/>
      <c r="C7" s="339"/>
      <c r="D7" s="339"/>
      <c r="E7" s="40"/>
      <c r="F7" s="41"/>
      <c r="G7" s="51">
        <f>I2*E7</f>
        <v>0</v>
      </c>
      <c r="H7" s="42">
        <v>0</v>
      </c>
      <c r="I7" s="41"/>
      <c r="J7" s="43"/>
      <c r="K7" s="52" t="e">
        <f t="shared" si="0"/>
        <v>#DIV/0!</v>
      </c>
      <c r="L7" s="53" t="e">
        <f t="shared" si="1"/>
        <v>#DIV/0!</v>
      </c>
      <c r="M7" s="18">
        <v>3</v>
      </c>
      <c r="N7" s="380"/>
      <c r="O7" s="381"/>
      <c r="P7" s="381"/>
      <c r="Q7" s="381"/>
      <c r="R7" s="382"/>
      <c r="S7" s="12"/>
      <c r="T7" s="12"/>
      <c r="U7" s="12"/>
    </row>
    <row r="8" spans="1:21" ht="18.75" customHeight="1">
      <c r="A8" s="338"/>
      <c r="B8" s="339"/>
      <c r="C8" s="339"/>
      <c r="D8" s="339"/>
      <c r="E8" s="40"/>
      <c r="F8" s="41"/>
      <c r="G8" s="51">
        <f>I2*E8</f>
        <v>0</v>
      </c>
      <c r="H8" s="42">
        <v>0</v>
      </c>
      <c r="I8" s="41"/>
      <c r="J8" s="43"/>
      <c r="K8" s="52" t="e">
        <f t="shared" si="0"/>
        <v>#DIV/0!</v>
      </c>
      <c r="L8" s="53" t="e">
        <f t="shared" si="1"/>
        <v>#DIV/0!</v>
      </c>
      <c r="M8" s="18"/>
      <c r="N8" s="380"/>
      <c r="O8" s="381"/>
      <c r="P8" s="381"/>
      <c r="Q8" s="381"/>
      <c r="R8" s="382"/>
      <c r="S8" s="12"/>
      <c r="T8" s="12"/>
      <c r="U8" s="12"/>
    </row>
    <row r="9" spans="1:21" ht="18.75" customHeight="1">
      <c r="A9" s="338"/>
      <c r="B9" s="339"/>
      <c r="C9" s="339"/>
      <c r="D9" s="339"/>
      <c r="E9" s="40"/>
      <c r="F9" s="41"/>
      <c r="G9" s="51">
        <f>I2*E9</f>
        <v>0</v>
      </c>
      <c r="H9" s="42">
        <v>0</v>
      </c>
      <c r="I9" s="41"/>
      <c r="J9" s="43"/>
      <c r="K9" s="52" t="e">
        <f t="shared" si="0"/>
        <v>#DIV/0!</v>
      </c>
      <c r="L9" s="53" t="e">
        <f t="shared" si="1"/>
        <v>#DIV/0!</v>
      </c>
      <c r="M9" s="18">
        <v>4</v>
      </c>
      <c r="N9" s="380"/>
      <c r="O9" s="381"/>
      <c r="P9" s="381"/>
      <c r="Q9" s="381"/>
      <c r="R9" s="382"/>
      <c r="S9" s="12"/>
      <c r="T9" s="12"/>
      <c r="U9" s="12"/>
    </row>
    <row r="10" spans="1:21" ht="18.75" customHeight="1">
      <c r="A10" s="338"/>
      <c r="B10" s="339"/>
      <c r="C10" s="339"/>
      <c r="D10" s="339"/>
      <c r="E10" s="40"/>
      <c r="F10" s="41"/>
      <c r="G10" s="51">
        <f>I2*E10</f>
        <v>0</v>
      </c>
      <c r="H10" s="42">
        <v>0</v>
      </c>
      <c r="I10" s="41"/>
      <c r="J10" s="43"/>
      <c r="K10" s="52" t="e">
        <f t="shared" si="0"/>
        <v>#DIV/0!</v>
      </c>
      <c r="L10" s="53" t="e">
        <f t="shared" si="1"/>
        <v>#DIV/0!</v>
      </c>
      <c r="M10" s="18"/>
      <c r="N10" s="380"/>
      <c r="O10" s="381"/>
      <c r="P10" s="381"/>
      <c r="Q10" s="381"/>
      <c r="R10" s="382"/>
      <c r="S10" s="12"/>
      <c r="T10" s="12"/>
      <c r="U10" s="12"/>
    </row>
    <row r="11" spans="1:21" ht="18.75" customHeight="1">
      <c r="A11" s="338"/>
      <c r="B11" s="339"/>
      <c r="C11" s="339"/>
      <c r="D11" s="339"/>
      <c r="E11" s="40"/>
      <c r="F11" s="41"/>
      <c r="G11" s="51">
        <f>I2*E11</f>
        <v>0</v>
      </c>
      <c r="H11" s="42">
        <v>0</v>
      </c>
      <c r="I11" s="41"/>
      <c r="J11" s="43"/>
      <c r="K11" s="52" t="e">
        <f t="shared" si="0"/>
        <v>#DIV/0!</v>
      </c>
      <c r="L11" s="53" t="e">
        <f t="shared" si="1"/>
        <v>#DIV/0!</v>
      </c>
      <c r="M11" s="18">
        <v>5</v>
      </c>
      <c r="N11" s="380"/>
      <c r="O11" s="381"/>
      <c r="P11" s="381"/>
      <c r="Q11" s="381"/>
      <c r="R11" s="382"/>
      <c r="S11" s="12"/>
      <c r="T11" s="12"/>
      <c r="U11" s="12"/>
    </row>
    <row r="12" spans="1:21" ht="18.75" customHeight="1">
      <c r="A12" s="338"/>
      <c r="B12" s="339"/>
      <c r="C12" s="339"/>
      <c r="D12" s="339"/>
      <c r="E12" s="40"/>
      <c r="F12" s="41"/>
      <c r="G12" s="51">
        <f>I2*E12</f>
        <v>0</v>
      </c>
      <c r="H12" s="42">
        <v>0</v>
      </c>
      <c r="I12" s="41"/>
      <c r="J12" s="43"/>
      <c r="K12" s="52" t="e">
        <f t="shared" si="0"/>
        <v>#DIV/0!</v>
      </c>
      <c r="L12" s="53" t="e">
        <f t="shared" si="1"/>
        <v>#DIV/0!</v>
      </c>
      <c r="M12" s="18"/>
      <c r="N12" s="380"/>
      <c r="O12" s="381"/>
      <c r="P12" s="381"/>
      <c r="Q12" s="381"/>
      <c r="R12" s="382"/>
      <c r="S12" s="12"/>
      <c r="T12" s="12"/>
      <c r="U12" s="12"/>
    </row>
    <row r="13" spans="1:21" ht="18.75" customHeight="1">
      <c r="A13" s="338"/>
      <c r="B13" s="339"/>
      <c r="C13" s="339"/>
      <c r="D13" s="339"/>
      <c r="E13" s="40"/>
      <c r="F13" s="41"/>
      <c r="G13" s="51">
        <f>I2*E13</f>
        <v>0</v>
      </c>
      <c r="H13" s="42">
        <v>0</v>
      </c>
      <c r="I13" s="41"/>
      <c r="J13" s="43"/>
      <c r="K13" s="52" t="e">
        <f t="shared" si="0"/>
        <v>#DIV/0!</v>
      </c>
      <c r="L13" s="53" t="e">
        <f t="shared" si="1"/>
        <v>#DIV/0!</v>
      </c>
      <c r="M13" s="18">
        <v>6</v>
      </c>
      <c r="N13" s="380"/>
      <c r="O13" s="381"/>
      <c r="P13" s="381"/>
      <c r="Q13" s="381"/>
      <c r="R13" s="382"/>
      <c r="S13" s="12"/>
      <c r="T13" s="12"/>
      <c r="U13" s="12"/>
    </row>
    <row r="14" spans="1:21" ht="18.75" customHeight="1">
      <c r="A14" s="338"/>
      <c r="B14" s="339"/>
      <c r="C14" s="339"/>
      <c r="D14" s="339"/>
      <c r="E14" s="40"/>
      <c r="F14" s="41"/>
      <c r="G14" s="51">
        <f>I2*E14</f>
        <v>0</v>
      </c>
      <c r="H14" s="42">
        <v>0</v>
      </c>
      <c r="I14" s="41"/>
      <c r="J14" s="43"/>
      <c r="K14" s="52" t="e">
        <f t="shared" si="0"/>
        <v>#DIV/0!</v>
      </c>
      <c r="L14" s="53" t="e">
        <f t="shared" si="1"/>
        <v>#DIV/0!</v>
      </c>
      <c r="M14" s="18"/>
      <c r="N14" s="380"/>
      <c r="O14" s="381"/>
      <c r="P14" s="381"/>
      <c r="Q14" s="381"/>
      <c r="R14" s="382"/>
      <c r="S14" s="12"/>
      <c r="T14" s="12"/>
      <c r="U14" s="12"/>
    </row>
    <row r="15" spans="1:21" ht="18.75" customHeight="1">
      <c r="A15" s="338"/>
      <c r="B15" s="339"/>
      <c r="C15" s="339"/>
      <c r="D15" s="339"/>
      <c r="E15" s="40"/>
      <c r="F15" s="41"/>
      <c r="G15" s="51">
        <f>I2*E15</f>
        <v>0</v>
      </c>
      <c r="H15" s="42">
        <v>0</v>
      </c>
      <c r="I15" s="41"/>
      <c r="J15" s="43"/>
      <c r="K15" s="52" t="e">
        <f t="shared" si="0"/>
        <v>#DIV/0!</v>
      </c>
      <c r="L15" s="53" t="e">
        <f t="shared" si="1"/>
        <v>#DIV/0!</v>
      </c>
      <c r="M15" s="18"/>
      <c r="N15" s="380"/>
      <c r="O15" s="381"/>
      <c r="P15" s="381"/>
      <c r="Q15" s="381"/>
      <c r="R15" s="382"/>
      <c r="S15" s="12"/>
      <c r="T15" s="12"/>
      <c r="U15" s="12"/>
    </row>
    <row r="16" spans="1:21" ht="18.75" customHeight="1">
      <c r="A16" s="338"/>
      <c r="B16" s="339"/>
      <c r="C16" s="339"/>
      <c r="D16" s="339"/>
      <c r="E16" s="40"/>
      <c r="F16" s="41"/>
      <c r="G16" s="51">
        <f>I2*E16</f>
        <v>0</v>
      </c>
      <c r="H16" s="42">
        <v>0</v>
      </c>
      <c r="I16" s="41"/>
      <c r="J16" s="43"/>
      <c r="K16" s="52" t="e">
        <f t="shared" si="0"/>
        <v>#DIV/0!</v>
      </c>
      <c r="L16" s="53" t="e">
        <f t="shared" si="1"/>
        <v>#DIV/0!</v>
      </c>
      <c r="M16" s="18"/>
      <c r="N16" s="380"/>
      <c r="O16" s="381"/>
      <c r="P16" s="381"/>
      <c r="Q16" s="381"/>
      <c r="R16" s="382"/>
      <c r="S16" s="12"/>
      <c r="T16" s="12"/>
      <c r="U16" s="12"/>
    </row>
    <row r="17" spans="1:21" ht="18.75" customHeight="1">
      <c r="A17" s="338"/>
      <c r="B17" s="339"/>
      <c r="C17" s="339"/>
      <c r="D17" s="339"/>
      <c r="E17" s="40"/>
      <c r="F17" s="41"/>
      <c r="G17" s="51">
        <f>I2*E17</f>
        <v>0</v>
      </c>
      <c r="H17" s="42">
        <v>0</v>
      </c>
      <c r="I17" s="41"/>
      <c r="J17" s="43"/>
      <c r="K17" s="52" t="e">
        <f t="shared" si="0"/>
        <v>#DIV/0!</v>
      </c>
      <c r="L17" s="53" t="e">
        <f t="shared" si="1"/>
        <v>#DIV/0!</v>
      </c>
      <c r="M17" s="18"/>
      <c r="N17" s="380"/>
      <c r="O17" s="381"/>
      <c r="P17" s="381"/>
      <c r="Q17" s="381"/>
      <c r="R17" s="382"/>
      <c r="S17" s="12"/>
      <c r="T17" s="12"/>
      <c r="U17" s="12"/>
    </row>
    <row r="18" spans="1:21" ht="18.75" customHeight="1">
      <c r="A18" s="338"/>
      <c r="B18" s="339"/>
      <c r="C18" s="339"/>
      <c r="D18" s="339"/>
      <c r="E18" s="40"/>
      <c r="F18" s="41"/>
      <c r="G18" s="51">
        <f>I2*E18</f>
        <v>0</v>
      </c>
      <c r="H18" s="42">
        <v>0</v>
      </c>
      <c r="I18" s="41"/>
      <c r="J18" s="43"/>
      <c r="K18" s="52" t="e">
        <f t="shared" si="0"/>
        <v>#DIV/0!</v>
      </c>
      <c r="L18" s="53" t="e">
        <f t="shared" si="1"/>
        <v>#DIV/0!</v>
      </c>
      <c r="M18" s="18"/>
      <c r="N18" s="380"/>
      <c r="O18" s="381"/>
      <c r="P18" s="381"/>
      <c r="Q18" s="381"/>
      <c r="R18" s="382"/>
      <c r="S18" s="12"/>
      <c r="T18" s="12"/>
      <c r="U18" s="12"/>
    </row>
    <row r="19" spans="1:21" ht="18.75" customHeight="1">
      <c r="A19" s="338"/>
      <c r="B19" s="339"/>
      <c r="C19" s="339"/>
      <c r="D19" s="339"/>
      <c r="E19" s="40"/>
      <c r="F19" s="41"/>
      <c r="G19" s="51">
        <f>I2*E19</f>
        <v>0</v>
      </c>
      <c r="H19" s="42">
        <v>0</v>
      </c>
      <c r="I19" s="41"/>
      <c r="J19" s="43"/>
      <c r="K19" s="52" t="e">
        <f t="shared" si="0"/>
        <v>#DIV/0!</v>
      </c>
      <c r="L19" s="53" t="e">
        <f t="shared" si="1"/>
        <v>#DIV/0!</v>
      </c>
      <c r="M19" s="18"/>
      <c r="N19" s="380"/>
      <c r="O19" s="381"/>
      <c r="P19" s="381"/>
      <c r="Q19" s="381"/>
      <c r="R19" s="382"/>
      <c r="S19" s="12"/>
      <c r="T19" s="12"/>
      <c r="U19" s="12"/>
    </row>
    <row r="20" spans="1:21" ht="18.75" customHeight="1">
      <c r="A20" s="338"/>
      <c r="B20" s="339"/>
      <c r="C20" s="339"/>
      <c r="D20" s="339"/>
      <c r="E20" s="40"/>
      <c r="F20" s="41"/>
      <c r="G20" s="51">
        <f>I2*E20</f>
        <v>0</v>
      </c>
      <c r="H20" s="42">
        <v>0</v>
      </c>
      <c r="I20" s="41"/>
      <c r="J20" s="43"/>
      <c r="K20" s="52" t="e">
        <f t="shared" si="0"/>
        <v>#DIV/0!</v>
      </c>
      <c r="L20" s="53" t="e">
        <f t="shared" si="1"/>
        <v>#DIV/0!</v>
      </c>
      <c r="M20" s="18"/>
      <c r="N20" s="380"/>
      <c r="O20" s="381"/>
      <c r="P20" s="381"/>
      <c r="Q20" s="381"/>
      <c r="R20" s="382"/>
      <c r="S20" s="12"/>
      <c r="T20" s="12"/>
      <c r="U20" s="12"/>
    </row>
    <row r="21" spans="1:21" ht="18.75" customHeight="1">
      <c r="A21" s="338"/>
      <c r="B21" s="339"/>
      <c r="C21" s="339"/>
      <c r="D21" s="339"/>
      <c r="E21" s="40"/>
      <c r="F21" s="41"/>
      <c r="G21" s="51">
        <f>I2*E21</f>
        <v>0</v>
      </c>
      <c r="H21" s="42">
        <v>0</v>
      </c>
      <c r="I21" s="41"/>
      <c r="J21" s="43"/>
      <c r="K21" s="52" t="e">
        <f t="shared" si="0"/>
        <v>#DIV/0!</v>
      </c>
      <c r="L21" s="53" t="e">
        <f t="shared" si="1"/>
        <v>#DIV/0!</v>
      </c>
      <c r="M21" s="18"/>
      <c r="N21" s="380"/>
      <c r="O21" s="381"/>
      <c r="P21" s="381"/>
      <c r="Q21" s="381"/>
      <c r="R21" s="382"/>
      <c r="S21" s="12"/>
      <c r="T21" s="12"/>
      <c r="U21" s="12"/>
    </row>
    <row r="22" spans="1:21" ht="18.75" customHeight="1" thickBot="1">
      <c r="A22" s="338"/>
      <c r="B22" s="339"/>
      <c r="C22" s="339"/>
      <c r="D22" s="339"/>
      <c r="E22" s="40"/>
      <c r="F22" s="41"/>
      <c r="G22" s="51">
        <f>I2*E22</f>
        <v>0</v>
      </c>
      <c r="H22" s="42">
        <v>0</v>
      </c>
      <c r="I22" s="41"/>
      <c r="J22" s="43"/>
      <c r="K22" s="52" t="e">
        <f t="shared" si="0"/>
        <v>#DIV/0!</v>
      </c>
      <c r="L22" s="53" t="e">
        <f t="shared" si="1"/>
        <v>#DIV/0!</v>
      </c>
      <c r="M22" s="18"/>
      <c r="N22" s="380"/>
      <c r="O22" s="381"/>
      <c r="P22" s="381"/>
      <c r="Q22" s="381"/>
      <c r="R22" s="382"/>
      <c r="S22" s="12"/>
      <c r="T22" s="12"/>
      <c r="U22" s="12"/>
    </row>
    <row r="23" spans="1:21" ht="20.25" customHeight="1" thickBot="1">
      <c r="A23" s="347" t="s">
        <v>29</v>
      </c>
      <c r="B23" s="348"/>
      <c r="C23" s="348"/>
      <c r="D23" s="349"/>
      <c r="E23" s="352" t="s">
        <v>7</v>
      </c>
      <c r="F23" s="353"/>
      <c r="G23" s="353"/>
      <c r="H23" s="353"/>
      <c r="I23" s="353"/>
      <c r="J23" s="353"/>
      <c r="K23" s="353"/>
      <c r="L23" s="54" t="e">
        <f>ROUNDUP(SUM(L5:L22),5)</f>
        <v>#DIV/0!</v>
      </c>
      <c r="M23" s="18"/>
      <c r="N23" s="380"/>
      <c r="O23" s="381"/>
      <c r="P23" s="381"/>
      <c r="Q23" s="381"/>
      <c r="R23" s="382"/>
      <c r="S23" s="12"/>
      <c r="T23" s="12"/>
      <c r="U23" s="12"/>
    </row>
    <row r="24" spans="1:21" ht="20.25" customHeight="1">
      <c r="A24" s="9" t="s">
        <v>14</v>
      </c>
      <c r="B24" s="9" t="s">
        <v>15</v>
      </c>
      <c r="C24" s="345" t="s">
        <v>16</v>
      </c>
      <c r="D24" s="346"/>
      <c r="E24" s="21"/>
      <c r="F24" s="22"/>
      <c r="G24" s="22"/>
      <c r="H24" s="18" t="s">
        <v>9</v>
      </c>
      <c r="I24" s="18"/>
      <c r="J24" s="18"/>
      <c r="K24" s="18"/>
      <c r="L24" s="55" t="e">
        <f>ROUND(L23*10/100,5)</f>
        <v>#DIV/0!</v>
      </c>
      <c r="M24" s="18"/>
      <c r="N24" s="380"/>
      <c r="O24" s="381"/>
      <c r="P24" s="381"/>
      <c r="Q24" s="381"/>
      <c r="R24" s="382"/>
      <c r="S24" s="12"/>
      <c r="T24" s="12"/>
      <c r="U24" s="12"/>
    </row>
    <row r="25" spans="1:21" ht="22.5" customHeight="1" thickBot="1">
      <c r="A25" s="10"/>
      <c r="B25" s="10"/>
      <c r="C25" s="360"/>
      <c r="D25" s="361"/>
      <c r="E25" s="23"/>
      <c r="F25" s="24"/>
      <c r="G25" s="24"/>
      <c r="H25" s="25" t="s">
        <v>6</v>
      </c>
      <c r="I25" s="25"/>
      <c r="J25" s="25"/>
      <c r="K25" s="25"/>
      <c r="L25" s="56" t="e">
        <f>L23+L24</f>
        <v>#DIV/0!</v>
      </c>
      <c r="M25" s="18"/>
      <c r="N25" s="366"/>
      <c r="O25" s="367"/>
      <c r="P25" s="367"/>
      <c r="Q25" s="367"/>
      <c r="R25" s="368"/>
      <c r="S25" s="12"/>
      <c r="T25" s="12"/>
      <c r="U25" s="12"/>
    </row>
    <row r="26" spans="5:21" ht="7.5" customHeight="1" thickBot="1">
      <c r="E26" s="356"/>
      <c r="F26" s="356"/>
      <c r="G26" s="2"/>
      <c r="H26" s="2"/>
      <c r="I26" s="2"/>
      <c r="J26" s="4"/>
      <c r="K26" s="4"/>
      <c r="L26" s="4"/>
      <c r="M26" s="14"/>
      <c r="N26" s="378" t="s">
        <v>26</v>
      </c>
      <c r="O26" s="378"/>
      <c r="P26" s="16"/>
      <c r="Q26" s="16"/>
      <c r="R26" s="17"/>
      <c r="S26" s="1"/>
      <c r="T26" s="1"/>
      <c r="U26" s="1"/>
    </row>
    <row r="27" spans="1:21" ht="20.25" customHeight="1">
      <c r="A27" s="342" t="s">
        <v>5</v>
      </c>
      <c r="B27" s="343"/>
      <c r="C27" s="343"/>
      <c r="D27" s="26"/>
      <c r="E27" s="343"/>
      <c r="F27" s="369"/>
      <c r="G27" s="16"/>
      <c r="H27" s="20"/>
      <c r="I27" s="16"/>
      <c r="J27" s="15"/>
      <c r="K27" s="15"/>
      <c r="L27" s="15"/>
      <c r="M27" s="37"/>
      <c r="N27" s="379"/>
      <c r="O27" s="379"/>
      <c r="P27" s="18"/>
      <c r="Q27" s="18"/>
      <c r="R27" s="19"/>
      <c r="S27" s="6"/>
      <c r="T27" s="6"/>
      <c r="U27" s="6"/>
    </row>
    <row r="28" spans="1:21" ht="37.5" customHeight="1">
      <c r="A28" s="27" t="s">
        <v>19</v>
      </c>
      <c r="B28" s="28" t="s">
        <v>20</v>
      </c>
      <c r="C28" s="29" t="s">
        <v>21</v>
      </c>
      <c r="D28" s="30" t="s">
        <v>22</v>
      </c>
      <c r="E28" s="354" t="s">
        <v>8</v>
      </c>
      <c r="F28" s="355"/>
      <c r="G28" s="36"/>
      <c r="H28" s="34"/>
      <c r="I28" s="33" t="s">
        <v>28</v>
      </c>
      <c r="J28" s="33" t="s">
        <v>23</v>
      </c>
      <c r="K28" s="344" t="s">
        <v>24</v>
      </c>
      <c r="L28" s="344"/>
      <c r="M28" s="38"/>
      <c r="N28" s="362"/>
      <c r="O28" s="363"/>
      <c r="P28" s="363"/>
      <c r="Q28" s="363"/>
      <c r="R28" s="364"/>
      <c r="S28" s="6"/>
      <c r="T28" s="6"/>
      <c r="U28" s="6"/>
    </row>
    <row r="29" spans="1:18" ht="19.5" customHeight="1" thickBot="1">
      <c r="A29" s="31">
        <v>1</v>
      </c>
      <c r="B29" s="32" t="s">
        <v>10</v>
      </c>
      <c r="C29" s="57" t="e">
        <f>L25</f>
        <v>#DIV/0!</v>
      </c>
      <c r="D29" s="58">
        <v>0</v>
      </c>
      <c r="E29" s="370" t="e">
        <f>C29+D29</f>
        <v>#DIV/0!</v>
      </c>
      <c r="F29" s="371"/>
      <c r="G29" s="50"/>
      <c r="H29" s="35"/>
      <c r="I29" s="59" t="e">
        <f>E29/J29</f>
        <v>#DIV/0!</v>
      </c>
      <c r="J29" s="60">
        <v>0.3</v>
      </c>
      <c r="K29" s="350">
        <f ca="1">NOW()</f>
        <v>41359.56477372685</v>
      </c>
      <c r="L29" s="351"/>
      <c r="M29" s="39"/>
      <c r="N29" s="365"/>
      <c r="O29" s="365"/>
      <c r="P29" s="365"/>
      <c r="Q29" s="365"/>
      <c r="R29" s="361"/>
    </row>
  </sheetData>
  <sheetProtection/>
  <mergeCells count="58">
    <mergeCell ref="N28:R29"/>
    <mergeCell ref="K29:L29"/>
    <mergeCell ref="A2:B2"/>
    <mergeCell ref="C2:F2"/>
    <mergeCell ref="A4:D4"/>
    <mergeCell ref="A8:D8"/>
    <mergeCell ref="A9:D9"/>
    <mergeCell ref="A10:D10"/>
    <mergeCell ref="N8:R8"/>
    <mergeCell ref="N9:R9"/>
    <mergeCell ref="A1:O1"/>
    <mergeCell ref="O2:R2"/>
    <mergeCell ref="N4:R4"/>
    <mergeCell ref="A5:D5"/>
    <mergeCell ref="A6:D6"/>
    <mergeCell ref="A7:D7"/>
    <mergeCell ref="N5:R5"/>
    <mergeCell ref="N6:R6"/>
    <mergeCell ref="N7:R7"/>
    <mergeCell ref="N10:R10"/>
    <mergeCell ref="A11:D11"/>
    <mergeCell ref="A12:D12"/>
    <mergeCell ref="A13:D13"/>
    <mergeCell ref="N11:R11"/>
    <mergeCell ref="N12:R12"/>
    <mergeCell ref="N13:R13"/>
    <mergeCell ref="A14:D14"/>
    <mergeCell ref="A15:D15"/>
    <mergeCell ref="A16:D16"/>
    <mergeCell ref="N14:R14"/>
    <mergeCell ref="N15:R15"/>
    <mergeCell ref="N16:R16"/>
    <mergeCell ref="N20:R20"/>
    <mergeCell ref="N21:R21"/>
    <mergeCell ref="N22:R22"/>
    <mergeCell ref="A17:D17"/>
    <mergeCell ref="A18:D18"/>
    <mergeCell ref="A19:D19"/>
    <mergeCell ref="N17:R17"/>
    <mergeCell ref="N18:R18"/>
    <mergeCell ref="N19:R19"/>
    <mergeCell ref="E28:F28"/>
    <mergeCell ref="E29:F29"/>
    <mergeCell ref="C25:D25"/>
    <mergeCell ref="E23:K23"/>
    <mergeCell ref="A20:D20"/>
    <mergeCell ref="A21:D21"/>
    <mergeCell ref="A22:D22"/>
    <mergeCell ref="K28:L28"/>
    <mergeCell ref="N23:R23"/>
    <mergeCell ref="N24:R24"/>
    <mergeCell ref="E26:F26"/>
    <mergeCell ref="A27:C27"/>
    <mergeCell ref="E27:F27"/>
    <mergeCell ref="N25:R25"/>
    <mergeCell ref="A23:D23"/>
    <mergeCell ref="C24:D24"/>
    <mergeCell ref="N26:O2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H28"/>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35.710937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242</v>
      </c>
      <c r="D2" s="469"/>
      <c r="E2" s="469"/>
      <c r="F2" s="469"/>
      <c r="G2" s="469"/>
      <c r="H2" s="214" t="s">
        <v>55</v>
      </c>
      <c r="I2" s="151">
        <v>100</v>
      </c>
      <c r="J2" s="214" t="s">
        <v>48</v>
      </c>
      <c r="K2" s="152" t="s">
        <v>485</v>
      </c>
      <c r="L2" s="152"/>
      <c r="M2" s="153"/>
      <c r="N2" s="508" t="s">
        <v>17</v>
      </c>
      <c r="O2" s="508"/>
      <c r="P2" s="471" t="str">
        <f>C2</f>
        <v>Capreses Skewers</v>
      </c>
      <c r="Q2" s="471"/>
      <c r="R2" s="471"/>
      <c r="S2" s="471"/>
      <c r="T2" s="472"/>
      <c r="U2" s="77"/>
      <c r="V2" s="77"/>
      <c r="W2" s="214" t="s">
        <v>55</v>
      </c>
      <c r="X2" s="78">
        <f>I2</f>
        <v>100</v>
      </c>
      <c r="Y2" s="79"/>
      <c r="Z2" s="80" t="s">
        <v>53</v>
      </c>
      <c r="AA2" s="518" t="str">
        <f>K2</f>
        <v>1 skewer per serving</v>
      </c>
      <c r="AB2" s="398"/>
      <c r="AC2" s="398"/>
      <c r="AD2" s="84"/>
      <c r="AE2" s="84"/>
      <c r="AF2" s="84"/>
      <c r="AG2" s="83"/>
      <c r="AH2" s="83"/>
    </row>
    <row r="3" spans="1:34" ht="11.25" customHeight="1">
      <c r="A3" s="212"/>
      <c r="B3" s="230"/>
      <c r="C3" s="519"/>
      <c r="D3" s="520"/>
      <c r="E3" s="520"/>
      <c r="F3" s="520"/>
      <c r="G3" s="520"/>
      <c r="H3" s="231"/>
      <c r="I3" s="437"/>
      <c r="J3" s="528"/>
      <c r="K3" s="528"/>
      <c r="L3" s="85"/>
      <c r="M3" s="86"/>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486</v>
      </c>
      <c r="B6" s="444"/>
      <c r="C6" s="444"/>
      <c r="D6" s="445"/>
      <c r="E6" s="446" t="s">
        <v>318</v>
      </c>
      <c r="F6" s="447"/>
      <c r="G6" s="91">
        <v>1</v>
      </c>
      <c r="H6" s="444" t="s">
        <v>488</v>
      </c>
      <c r="I6" s="500"/>
      <c r="J6" s="500"/>
      <c r="K6" s="500"/>
      <c r="L6" s="500"/>
      <c r="M6" s="501"/>
      <c r="N6" s="429" t="str">
        <f aca="true" t="shared" si="0" ref="N6:N20">A6</f>
        <v>Bamboo Skewers, 8-inch</v>
      </c>
      <c r="O6" s="430"/>
      <c r="P6" s="430"/>
      <c r="Q6" s="430"/>
      <c r="R6" s="232">
        <v>1</v>
      </c>
      <c r="S6" s="161" t="s">
        <v>249</v>
      </c>
      <c r="T6" s="162">
        <f>R6*X2</f>
        <v>100</v>
      </c>
      <c r="U6" s="172">
        <f>(X2*R6)/AA6</f>
        <v>100</v>
      </c>
      <c r="V6" s="164" t="s">
        <v>496</v>
      </c>
      <c r="W6" s="165">
        <v>7.77</v>
      </c>
      <c r="X6" s="166">
        <f>U6/100</f>
        <v>1</v>
      </c>
      <c r="Y6" s="166" t="s">
        <v>483</v>
      </c>
      <c r="Z6" s="167">
        <f>W6*X6</f>
        <v>7.77</v>
      </c>
      <c r="AA6" s="168">
        <v>1</v>
      </c>
      <c r="AB6" s="169">
        <f>Z6/X2</f>
        <v>0.07769999999999999</v>
      </c>
      <c r="AC6" s="170">
        <f>X2*AB6</f>
        <v>7.77</v>
      </c>
      <c r="AD6" s="103"/>
      <c r="AE6" s="103"/>
      <c r="AF6" s="103"/>
    </row>
    <row r="7" spans="1:32" ht="28.5" customHeight="1">
      <c r="A7" s="431" t="s">
        <v>489</v>
      </c>
      <c r="B7" s="432"/>
      <c r="C7" s="432"/>
      <c r="D7" s="433"/>
      <c r="E7" s="436" t="s">
        <v>165</v>
      </c>
      <c r="F7" s="435"/>
      <c r="G7" s="91">
        <v>2</v>
      </c>
      <c r="H7" s="432" t="s">
        <v>491</v>
      </c>
      <c r="I7" s="483"/>
      <c r="J7" s="483"/>
      <c r="K7" s="483"/>
      <c r="L7" s="483"/>
      <c r="M7" s="484"/>
      <c r="N7" s="429" t="str">
        <f t="shared" si="0"/>
        <v>Cherry or Grape Tomatoes, fresh</v>
      </c>
      <c r="O7" s="430"/>
      <c r="P7" s="430"/>
      <c r="Q7" s="430"/>
      <c r="R7" s="232">
        <v>0.05</v>
      </c>
      <c r="S7" s="161" t="s">
        <v>80</v>
      </c>
      <c r="T7" s="176">
        <f>X2*R7</f>
        <v>5</v>
      </c>
      <c r="U7" s="172">
        <f>(X2*R7)/AA7</f>
        <v>5</v>
      </c>
      <c r="V7" s="164" t="s">
        <v>165</v>
      </c>
      <c r="W7" s="165">
        <v>11.13</v>
      </c>
      <c r="X7" s="166">
        <f>U7/1</f>
        <v>5</v>
      </c>
      <c r="Y7" s="166" t="s">
        <v>80</v>
      </c>
      <c r="Z7" s="167">
        <f>(W7/5)*X7</f>
        <v>11.129999999999999</v>
      </c>
      <c r="AA7" s="168">
        <v>1</v>
      </c>
      <c r="AB7" s="169">
        <f>Z7/X2</f>
        <v>0.1113</v>
      </c>
      <c r="AC7" s="170">
        <f>X2*AB7</f>
        <v>11.129999999999999</v>
      </c>
      <c r="AD7" s="103"/>
      <c r="AE7" s="103"/>
      <c r="AF7" s="103"/>
    </row>
    <row r="8" spans="1:32" ht="28.5" customHeight="1">
      <c r="A8" s="431" t="s">
        <v>493</v>
      </c>
      <c r="B8" s="432"/>
      <c r="C8" s="432"/>
      <c r="D8" s="433"/>
      <c r="E8" s="434" t="s">
        <v>495</v>
      </c>
      <c r="F8" s="435"/>
      <c r="G8" s="91"/>
      <c r="H8" s="432"/>
      <c r="I8" s="483"/>
      <c r="J8" s="483"/>
      <c r="K8" s="483"/>
      <c r="L8" s="483"/>
      <c r="M8" s="484"/>
      <c r="N8" s="429" t="str">
        <f>A8</f>
        <v>Tubs Bocconcini (0.3 oz. small balls of fresh Mozzarella) drained</v>
      </c>
      <c r="O8" s="430"/>
      <c r="P8" s="430"/>
      <c r="Q8" s="430"/>
      <c r="R8" s="79">
        <v>0.0375</v>
      </c>
      <c r="S8" s="161" t="s">
        <v>80</v>
      </c>
      <c r="T8" s="162">
        <f>X2*R8</f>
        <v>3.75</v>
      </c>
      <c r="U8" s="172">
        <f>(X2*R8)/AA8</f>
        <v>3.75</v>
      </c>
      <c r="V8" s="164" t="s">
        <v>497</v>
      </c>
      <c r="W8" s="165">
        <v>20.26</v>
      </c>
      <c r="X8" s="166">
        <f>U8/1</f>
        <v>3.75</v>
      </c>
      <c r="Y8" s="166" t="s">
        <v>80</v>
      </c>
      <c r="Z8" s="167">
        <f>(W8/2/3)*X8</f>
        <v>12.662500000000001</v>
      </c>
      <c r="AA8" s="168">
        <v>1</v>
      </c>
      <c r="AB8" s="169">
        <f>Z8/X2</f>
        <v>0.12662500000000002</v>
      </c>
      <c r="AC8" s="170">
        <f>X2*AB8</f>
        <v>12.662500000000001</v>
      </c>
      <c r="AD8" s="103"/>
      <c r="AE8" s="103"/>
      <c r="AF8" s="103"/>
    </row>
    <row r="9" spans="1:32" ht="18.75" customHeight="1">
      <c r="A9" s="431" t="s">
        <v>490</v>
      </c>
      <c r="B9" s="432"/>
      <c r="C9" s="432"/>
      <c r="D9" s="433"/>
      <c r="E9" s="436" t="s">
        <v>228</v>
      </c>
      <c r="F9" s="435"/>
      <c r="G9" s="91"/>
      <c r="H9" s="432"/>
      <c r="I9" s="483"/>
      <c r="J9" s="483"/>
      <c r="K9" s="483"/>
      <c r="L9" s="483"/>
      <c r="M9" s="484"/>
      <c r="N9" s="429" t="str">
        <f t="shared" si="0"/>
        <v>Fresh Basil, chopped</v>
      </c>
      <c r="O9" s="430"/>
      <c r="P9" s="430"/>
      <c r="Q9" s="430"/>
      <c r="R9" s="79">
        <v>0.01</v>
      </c>
      <c r="S9" s="161" t="s">
        <v>80</v>
      </c>
      <c r="T9" s="162">
        <f>X2*R9</f>
        <v>1</v>
      </c>
      <c r="U9" s="172">
        <f>(X2*R9)/AA9</f>
        <v>1</v>
      </c>
      <c r="V9" s="164" t="s">
        <v>228</v>
      </c>
      <c r="W9" s="165">
        <v>12.55</v>
      </c>
      <c r="X9" s="166">
        <f>(U9)/1</f>
        <v>1</v>
      </c>
      <c r="Y9" s="166" t="s">
        <v>80</v>
      </c>
      <c r="Z9" s="167">
        <f>W9*X9</f>
        <v>12.55</v>
      </c>
      <c r="AA9" s="168">
        <v>1</v>
      </c>
      <c r="AB9" s="169">
        <f>Z9/X2</f>
        <v>0.1255</v>
      </c>
      <c r="AC9" s="170">
        <f>X2*AB9</f>
        <v>12.55</v>
      </c>
      <c r="AD9" s="103"/>
      <c r="AE9" s="103"/>
      <c r="AF9" s="103"/>
    </row>
    <row r="10" spans="1:32" ht="18.75" customHeight="1">
      <c r="A10" s="431" t="s">
        <v>516</v>
      </c>
      <c r="B10" s="432"/>
      <c r="C10" s="432"/>
      <c r="D10" s="433"/>
      <c r="E10" s="436" t="s">
        <v>494</v>
      </c>
      <c r="F10" s="435"/>
      <c r="G10" s="91"/>
      <c r="H10" s="432"/>
      <c r="I10" s="494"/>
      <c r="J10" s="494"/>
      <c r="K10" s="494"/>
      <c r="L10" s="494"/>
      <c r="M10" s="495"/>
      <c r="N10" s="429" t="str">
        <f t="shared" si="0"/>
        <v>Balsamic Vinegar Glaze</v>
      </c>
      <c r="O10" s="430"/>
      <c r="P10" s="430"/>
      <c r="Q10" s="430"/>
      <c r="R10" s="174">
        <v>0.135</v>
      </c>
      <c r="S10" s="161" t="s">
        <v>407</v>
      </c>
      <c r="T10" s="162">
        <f>X2*R10</f>
        <v>13.5</v>
      </c>
      <c r="U10" s="172">
        <f>(X2*R10)/AA10</f>
        <v>13.5</v>
      </c>
      <c r="V10" s="164" t="s">
        <v>498</v>
      </c>
      <c r="W10" s="165">
        <v>5.18</v>
      </c>
      <c r="X10" s="166">
        <f aca="true" t="shared" si="1" ref="X10:X15">U10/1</f>
        <v>13.5</v>
      </c>
      <c r="Y10" s="166" t="s">
        <v>106</v>
      </c>
      <c r="Z10" s="167">
        <f>(W10/13.5)*X10</f>
        <v>5.18</v>
      </c>
      <c r="AA10" s="168">
        <v>1</v>
      </c>
      <c r="AB10" s="169">
        <f>Z10/X2</f>
        <v>0.0518</v>
      </c>
      <c r="AC10" s="170">
        <f>X2*AB10</f>
        <v>5.18</v>
      </c>
      <c r="AD10" s="103"/>
      <c r="AE10" s="103"/>
      <c r="AF10" s="103"/>
    </row>
    <row r="11" spans="1:32" ht="18.75" customHeight="1">
      <c r="A11" s="431" t="s">
        <v>99</v>
      </c>
      <c r="B11" s="432"/>
      <c r="C11" s="432"/>
      <c r="D11" s="433"/>
      <c r="E11" s="436" t="s">
        <v>229</v>
      </c>
      <c r="F11" s="435"/>
      <c r="G11" s="91"/>
      <c r="H11" s="432"/>
      <c r="I11" s="494"/>
      <c r="J11" s="494"/>
      <c r="K11" s="494"/>
      <c r="L11" s="494"/>
      <c r="M11" s="495"/>
      <c r="N11" s="438" t="str">
        <f t="shared" si="0"/>
        <v>Salt</v>
      </c>
      <c r="O11" s="439"/>
      <c r="P11" s="439"/>
      <c r="Q11" s="439"/>
      <c r="R11" s="79"/>
      <c r="S11" s="161"/>
      <c r="T11" s="162">
        <f>X2*R11</f>
        <v>0</v>
      </c>
      <c r="U11" s="172">
        <f>(X2*R11)/AA11</f>
        <v>0</v>
      </c>
      <c r="V11" s="233"/>
      <c r="W11" s="165"/>
      <c r="X11" s="166">
        <f t="shared" si="1"/>
        <v>0</v>
      </c>
      <c r="Y11" s="166"/>
      <c r="Z11" s="167">
        <f>(W11/10)*X11</f>
        <v>0</v>
      </c>
      <c r="AA11" s="168">
        <v>1</v>
      </c>
      <c r="AB11" s="169">
        <f>Z11/X2</f>
        <v>0</v>
      </c>
      <c r="AC11" s="170">
        <f>X2*AB11</f>
        <v>0</v>
      </c>
      <c r="AD11" s="103"/>
      <c r="AE11" s="103"/>
      <c r="AF11" s="103"/>
    </row>
    <row r="12" spans="1:32" ht="18.75" customHeight="1">
      <c r="A12" s="431" t="s">
        <v>487</v>
      </c>
      <c r="B12" s="432"/>
      <c r="C12" s="432"/>
      <c r="D12" s="433"/>
      <c r="E12" s="436" t="s">
        <v>229</v>
      </c>
      <c r="F12" s="435"/>
      <c r="G12" s="91"/>
      <c r="H12" s="432"/>
      <c r="I12" s="494"/>
      <c r="J12" s="494"/>
      <c r="K12" s="494"/>
      <c r="L12" s="494"/>
      <c r="M12" s="495"/>
      <c r="N12" s="431" t="str">
        <f>A12</f>
        <v>Pepper, black, ground</v>
      </c>
      <c r="O12" s="437"/>
      <c r="P12" s="437"/>
      <c r="Q12" s="437"/>
      <c r="R12" s="232"/>
      <c r="S12" s="161"/>
      <c r="T12" s="162">
        <f>X2*R12</f>
        <v>0</v>
      </c>
      <c r="U12" s="172">
        <f>(X2*R12)/AA12</f>
        <v>0</v>
      </c>
      <c r="V12" s="234"/>
      <c r="W12" s="165"/>
      <c r="X12" s="166">
        <f t="shared" si="1"/>
        <v>0</v>
      </c>
      <c r="Y12" s="166"/>
      <c r="Z12" s="167">
        <f>(W12/18.9)*X12</f>
        <v>0</v>
      </c>
      <c r="AA12" s="168">
        <v>1</v>
      </c>
      <c r="AB12" s="169">
        <f>Z12/X2</f>
        <v>0</v>
      </c>
      <c r="AC12" s="170">
        <f>X2*AB12</f>
        <v>0</v>
      </c>
      <c r="AD12" s="103"/>
      <c r="AE12" s="103"/>
      <c r="AF12" s="103"/>
    </row>
    <row r="13" spans="1:32" ht="18.75" customHeight="1">
      <c r="A13" s="431"/>
      <c r="B13" s="432"/>
      <c r="C13" s="432"/>
      <c r="D13" s="433"/>
      <c r="E13" s="434"/>
      <c r="F13" s="435"/>
      <c r="G13" s="91"/>
      <c r="H13" s="432"/>
      <c r="I13" s="483"/>
      <c r="J13" s="483"/>
      <c r="K13" s="483"/>
      <c r="L13" s="483"/>
      <c r="M13" s="484"/>
      <c r="N13" s="429">
        <f t="shared" si="0"/>
        <v>0</v>
      </c>
      <c r="O13" s="430"/>
      <c r="P13" s="430"/>
      <c r="Q13" s="430"/>
      <c r="R13" s="79"/>
      <c r="S13" s="161"/>
      <c r="T13" s="162">
        <f>X2*R13</f>
        <v>0</v>
      </c>
      <c r="U13" s="172">
        <f>(X2*R13)/AA13</f>
        <v>0</v>
      </c>
      <c r="V13" s="164"/>
      <c r="W13" s="165"/>
      <c r="X13" s="166">
        <f t="shared" si="1"/>
        <v>0</v>
      </c>
      <c r="Y13" s="166"/>
      <c r="Z13" s="167">
        <f>(W13/5)*X13</f>
        <v>0</v>
      </c>
      <c r="AA13" s="168">
        <v>1</v>
      </c>
      <c r="AB13" s="169">
        <f>Z13/X2</f>
        <v>0</v>
      </c>
      <c r="AC13" s="170">
        <f>X2*AB13</f>
        <v>0</v>
      </c>
      <c r="AD13" s="103"/>
      <c r="AE13" s="103"/>
      <c r="AF13" s="103"/>
    </row>
    <row r="14" spans="1:32" ht="18.75" customHeight="1">
      <c r="A14" s="431"/>
      <c r="B14" s="432"/>
      <c r="C14" s="432"/>
      <c r="D14" s="433"/>
      <c r="E14" s="434"/>
      <c r="F14" s="435"/>
      <c r="G14" s="91"/>
      <c r="H14" s="432"/>
      <c r="I14" s="483"/>
      <c r="J14" s="483"/>
      <c r="K14" s="483"/>
      <c r="L14" s="483"/>
      <c r="M14" s="484"/>
      <c r="N14" s="429">
        <f t="shared" si="0"/>
        <v>0</v>
      </c>
      <c r="O14" s="430"/>
      <c r="P14" s="430"/>
      <c r="Q14" s="430"/>
      <c r="R14" s="79"/>
      <c r="S14" s="161"/>
      <c r="T14" s="162">
        <f>X2*R14</f>
        <v>0</v>
      </c>
      <c r="U14" s="172">
        <f>(X2*R14)/AA14</f>
        <v>0</v>
      </c>
      <c r="V14" s="164"/>
      <c r="W14" s="165"/>
      <c r="X14" s="166">
        <f t="shared" si="1"/>
        <v>0</v>
      </c>
      <c r="Y14" s="166"/>
      <c r="Z14" s="167">
        <f>(W14/5)*X14</f>
        <v>0</v>
      </c>
      <c r="AA14" s="168">
        <v>1</v>
      </c>
      <c r="AB14" s="169">
        <f>Z14/X2</f>
        <v>0</v>
      </c>
      <c r="AC14" s="170">
        <f>X2*AB14</f>
        <v>0</v>
      </c>
      <c r="AD14" s="103"/>
      <c r="AE14" s="103"/>
      <c r="AF14" s="103"/>
    </row>
    <row r="15" spans="1:32" ht="18.75" customHeight="1">
      <c r="A15" s="431"/>
      <c r="B15" s="432"/>
      <c r="C15" s="432"/>
      <c r="D15" s="433"/>
      <c r="E15" s="434"/>
      <c r="F15" s="435"/>
      <c r="G15" s="91"/>
      <c r="H15" s="432"/>
      <c r="I15" s="483"/>
      <c r="J15" s="483"/>
      <c r="K15" s="483"/>
      <c r="L15" s="483"/>
      <c r="M15" s="484"/>
      <c r="N15" s="429">
        <f t="shared" si="0"/>
        <v>0</v>
      </c>
      <c r="O15" s="430"/>
      <c r="P15" s="430"/>
      <c r="Q15" s="430"/>
      <c r="R15" s="79"/>
      <c r="S15" s="161"/>
      <c r="T15" s="162">
        <f>X2*R15</f>
        <v>0</v>
      </c>
      <c r="U15" s="172">
        <f>(X2*R15)/AA15</f>
        <v>0</v>
      </c>
      <c r="V15" s="164"/>
      <c r="W15" s="165"/>
      <c r="X15" s="166">
        <f t="shared" si="1"/>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c r="H16" s="432"/>
      <c r="I16" s="483"/>
      <c r="J16" s="483"/>
      <c r="K16" s="483"/>
      <c r="L16" s="483"/>
      <c r="M16" s="484"/>
      <c r="N16" s="429">
        <f t="shared" si="0"/>
        <v>0</v>
      </c>
      <c r="O16" s="430"/>
      <c r="P16" s="430"/>
      <c r="Q16" s="430"/>
      <c r="R16" s="79"/>
      <c r="S16" s="161"/>
      <c r="T16" s="162">
        <f>X2*R16</f>
        <v>0</v>
      </c>
      <c r="U16" s="172">
        <f>(X2*R16)/AA16</f>
        <v>0</v>
      </c>
      <c r="V16" s="164"/>
      <c r="W16" s="165"/>
      <c r="X16" s="166">
        <f>U16/1</f>
        <v>0</v>
      </c>
      <c r="Y16" s="166"/>
      <c r="Z16" s="167">
        <f>W16*X16</f>
        <v>0</v>
      </c>
      <c r="AA16" s="168">
        <v>1</v>
      </c>
      <c r="AB16" s="169">
        <f>Z16/X2</f>
        <v>0</v>
      </c>
      <c r="AC16" s="170">
        <f>X2*AB16</f>
        <v>0</v>
      </c>
      <c r="AD16" s="103"/>
      <c r="AE16" s="103"/>
      <c r="AF16" s="103"/>
    </row>
    <row r="17" spans="1:32" ht="18.75" customHeight="1">
      <c r="A17" s="431" t="s">
        <v>492</v>
      </c>
      <c r="B17" s="432"/>
      <c r="C17" s="432"/>
      <c r="D17" s="433"/>
      <c r="E17" s="434"/>
      <c r="F17" s="435"/>
      <c r="G17" s="91"/>
      <c r="H17" s="432"/>
      <c r="I17" s="483"/>
      <c r="J17" s="483"/>
      <c r="K17" s="483"/>
      <c r="L17" s="483"/>
      <c r="M17" s="484"/>
      <c r="N17" s="429" t="str">
        <f t="shared" si="0"/>
        <v>Cherry Tomato:  about 40 each / lb</v>
      </c>
      <c r="O17" s="430"/>
      <c r="P17" s="430"/>
      <c r="Q17" s="430"/>
      <c r="R17" s="79"/>
      <c r="S17" s="161"/>
      <c r="T17" s="162">
        <f>X2*R17</f>
        <v>0</v>
      </c>
      <c r="U17" s="172">
        <f>(X2*R17)/AA17</f>
        <v>0</v>
      </c>
      <c r="V17" s="164"/>
      <c r="W17" s="165"/>
      <c r="X17" s="166">
        <f>U17/1</f>
        <v>0</v>
      </c>
      <c r="Y17" s="166"/>
      <c r="Z17" s="167">
        <f>W17*X17</f>
        <v>0</v>
      </c>
      <c r="AA17" s="168">
        <v>1</v>
      </c>
      <c r="AB17" s="169">
        <f>Z17/X2</f>
        <v>0</v>
      </c>
      <c r="AC17" s="170">
        <f>X2*AB17</f>
        <v>0</v>
      </c>
      <c r="AD17" s="103"/>
      <c r="AE17" s="103"/>
      <c r="AF17" s="103"/>
    </row>
    <row r="18" spans="1:32" ht="18.75" customHeight="1">
      <c r="A18" s="431"/>
      <c r="B18" s="432"/>
      <c r="C18" s="432"/>
      <c r="D18" s="433"/>
      <c r="E18" s="434"/>
      <c r="F18" s="435"/>
      <c r="G18" s="91"/>
      <c r="H18" s="432"/>
      <c r="I18" s="483"/>
      <c r="J18" s="483"/>
      <c r="K18" s="483"/>
      <c r="L18" s="483"/>
      <c r="M18" s="484"/>
      <c r="N18" s="429">
        <f t="shared" si="0"/>
        <v>0</v>
      </c>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483"/>
      <c r="J19" s="483"/>
      <c r="K19" s="483"/>
      <c r="L19" s="483"/>
      <c r="M19" s="484"/>
      <c r="N19" s="429">
        <f t="shared" si="0"/>
        <v>0</v>
      </c>
      <c r="O19" s="430"/>
      <c r="P19" s="430"/>
      <c r="Q19" s="430"/>
      <c r="R19" s="79"/>
      <c r="S19" s="161"/>
      <c r="T19" s="162"/>
      <c r="U19" s="177"/>
      <c r="V19" s="164"/>
      <c r="W19" s="165"/>
      <c r="X19" s="166"/>
      <c r="Y19" s="166"/>
      <c r="Z19" s="167"/>
      <c r="AA19" s="168"/>
      <c r="AB19" s="169"/>
      <c r="AC19" s="170"/>
      <c r="AD19" s="103"/>
      <c r="AE19" s="103"/>
      <c r="AF19" s="103"/>
    </row>
    <row r="20" spans="1:32" ht="25.5" customHeight="1">
      <c r="A20" s="431"/>
      <c r="B20" s="432"/>
      <c r="C20" s="432"/>
      <c r="D20" s="433"/>
      <c r="E20" s="434"/>
      <c r="F20" s="435"/>
      <c r="G20" s="91"/>
      <c r="H20" s="432"/>
      <c r="I20" s="483"/>
      <c r="J20" s="483"/>
      <c r="K20" s="483"/>
      <c r="L20" s="483"/>
      <c r="M20" s="484"/>
      <c r="N20" s="429">
        <f t="shared" si="0"/>
        <v>0</v>
      </c>
      <c r="O20" s="430"/>
      <c r="P20" s="430"/>
      <c r="Q20" s="430"/>
      <c r="R20" s="79"/>
      <c r="S20" s="161"/>
      <c r="T20" s="162"/>
      <c r="U20" s="177"/>
      <c r="V20" s="164"/>
      <c r="W20" s="165"/>
      <c r="X20" s="166"/>
      <c r="Y20" s="166"/>
      <c r="Z20" s="167"/>
      <c r="AA20" s="168"/>
      <c r="AB20" s="169"/>
      <c r="AC20" s="170"/>
      <c r="AD20" s="103"/>
      <c r="AE20" s="103"/>
      <c r="AF20" s="103"/>
    </row>
    <row r="21" spans="1:32" ht="18.75" customHeight="1" thickBot="1">
      <c r="A21" s="487"/>
      <c r="B21" s="488"/>
      <c r="C21" s="488"/>
      <c r="D21" s="489"/>
      <c r="E21" s="434"/>
      <c r="F21" s="435"/>
      <c r="G21" s="110"/>
      <c r="H21" s="488"/>
      <c r="I21" s="490"/>
      <c r="J21" s="490"/>
      <c r="K21" s="490"/>
      <c r="L21" s="490"/>
      <c r="M21" s="491"/>
      <c r="N21" s="485"/>
      <c r="O21" s="486"/>
      <c r="P21" s="486"/>
      <c r="Q21" s="486"/>
      <c r="R21" s="104"/>
      <c r="S21" s="93"/>
      <c r="T21" s="94"/>
      <c r="U21" s="109"/>
      <c r="V21" s="96"/>
      <c r="W21" s="97"/>
      <c r="X21" s="94"/>
      <c r="Y21" s="94"/>
      <c r="Z21" s="99"/>
      <c r="AA21" s="106"/>
      <c r="AB21" s="101"/>
      <c r="AC21" s="107"/>
      <c r="AD21" s="103"/>
      <c r="AE21" s="103"/>
      <c r="AF21" s="103"/>
    </row>
    <row r="22" spans="1:32" ht="25.5" customHeight="1" thickBot="1">
      <c r="A22" s="111"/>
      <c r="B22" s="112"/>
      <c r="C22" s="112"/>
      <c r="D22" s="112"/>
      <c r="E22" s="112"/>
      <c r="F22" s="112"/>
      <c r="G22" s="112"/>
      <c r="H22" s="112"/>
      <c r="I22" s="112"/>
      <c r="J22" s="112"/>
      <c r="K22" s="113"/>
      <c r="L22" s="215"/>
      <c r="M22" s="215"/>
      <c r="N22" s="422" t="s">
        <v>47</v>
      </c>
      <c r="O22" s="423"/>
      <c r="P22" s="423"/>
      <c r="Q22" s="424"/>
      <c r="R22" s="425" t="s">
        <v>7</v>
      </c>
      <c r="S22" s="424"/>
      <c r="T22" s="424"/>
      <c r="U22" s="424"/>
      <c r="V22" s="424"/>
      <c r="W22" s="424"/>
      <c r="X22" s="424"/>
      <c r="Y22" s="424"/>
      <c r="Z22" s="424"/>
      <c r="AA22" s="424"/>
      <c r="AB22" s="424"/>
      <c r="AC22" s="115">
        <f>ROUNDUP(SUM(AC6:AC21),5)</f>
        <v>49.2925</v>
      </c>
      <c r="AD22" s="103"/>
      <c r="AE22" s="103"/>
      <c r="AF22" s="103"/>
    </row>
    <row r="23" spans="1:32" ht="20.25" customHeight="1">
      <c r="A23" s="478" t="s">
        <v>45</v>
      </c>
      <c r="B23" s="479"/>
      <c r="C23" s="479"/>
      <c r="D23" s="479"/>
      <c r="E23" s="479"/>
      <c r="F23" s="479"/>
      <c r="G23" s="479"/>
      <c r="H23" s="479"/>
      <c r="I23" s="479"/>
      <c r="J23" s="479"/>
      <c r="K23" s="480"/>
      <c r="L23" s="116"/>
      <c r="M23" s="116"/>
      <c r="N23" s="524"/>
      <c r="O23" s="525"/>
      <c r="P23" s="525"/>
      <c r="Q23" s="525"/>
      <c r="R23" s="134"/>
      <c r="S23" s="134"/>
      <c r="T23" s="134"/>
      <c r="U23" s="134"/>
      <c r="V23" s="134"/>
      <c r="W23" s="135" t="s">
        <v>9</v>
      </c>
      <c r="X23" s="135"/>
      <c r="Y23" s="135"/>
      <c r="Z23" s="135"/>
      <c r="AA23" s="135"/>
      <c r="AB23" s="135"/>
      <c r="AC23" s="117">
        <f>ROUND(AC22*10/100,5)</f>
        <v>4.92925</v>
      </c>
      <c r="AD23" s="103"/>
      <c r="AE23" s="103"/>
      <c r="AF23" s="103"/>
    </row>
    <row r="24" spans="1:32" ht="30" customHeight="1" thickBot="1">
      <c r="A24" s="409" t="s">
        <v>42</v>
      </c>
      <c r="B24" s="481"/>
      <c r="C24" s="481"/>
      <c r="D24" s="481"/>
      <c r="E24" s="481"/>
      <c r="F24" s="218"/>
      <c r="G24" s="411" t="s">
        <v>46</v>
      </c>
      <c r="H24" s="411"/>
      <c r="I24" s="411" t="s">
        <v>485</v>
      </c>
      <c r="J24" s="481"/>
      <c r="K24" s="482"/>
      <c r="L24" s="218"/>
      <c r="M24" s="218"/>
      <c r="N24" s="119"/>
      <c r="O24" s="217"/>
      <c r="P24" s="507"/>
      <c r="Q24" s="507"/>
      <c r="R24" s="138"/>
      <c r="S24" s="138"/>
      <c r="T24" s="138"/>
      <c r="U24" s="138"/>
      <c r="V24" s="138"/>
      <c r="W24" s="139" t="s">
        <v>6</v>
      </c>
      <c r="X24" s="139"/>
      <c r="Y24" s="139"/>
      <c r="Z24" s="139"/>
      <c r="AA24" s="139"/>
      <c r="AB24" s="139"/>
      <c r="AC24" s="120">
        <f>AC22+AC23</f>
        <v>54.22175</v>
      </c>
      <c r="AD24" s="103"/>
      <c r="AE24" s="103"/>
      <c r="AF24" s="103"/>
    </row>
    <row r="25" spans="18:32" ht="7.5" customHeight="1" thickBot="1">
      <c r="R25" s="399"/>
      <c r="S25" s="399"/>
      <c r="T25" s="219"/>
      <c r="U25" s="219"/>
      <c r="V25" s="219"/>
      <c r="W25" s="219"/>
      <c r="X25" s="219"/>
      <c r="Y25" s="219"/>
      <c r="Z25" s="219"/>
      <c r="AA25" s="214"/>
      <c r="AB25" s="214"/>
      <c r="AC25" s="214"/>
      <c r="AD25" s="70"/>
      <c r="AE25" s="70"/>
      <c r="AF25" s="70"/>
    </row>
    <row r="26" spans="1:32" ht="20.25" customHeight="1">
      <c r="A26" s="220" t="s">
        <v>35</v>
      </c>
      <c r="B26" s="393" t="s">
        <v>36</v>
      </c>
      <c r="C26" s="393"/>
      <c r="D26" s="63" t="s">
        <v>37</v>
      </c>
      <c r="E26" s="63" t="s">
        <v>38</v>
      </c>
      <c r="F26" s="63" t="s">
        <v>39</v>
      </c>
      <c r="G26" s="393" t="s">
        <v>40</v>
      </c>
      <c r="H26" s="393"/>
      <c r="I26" s="393" t="s">
        <v>41</v>
      </c>
      <c r="J26" s="393"/>
      <c r="K26" s="393" t="s">
        <v>52</v>
      </c>
      <c r="L26" s="393"/>
      <c r="M26" s="220" t="s">
        <v>135</v>
      </c>
      <c r="N26" s="401" t="s">
        <v>5</v>
      </c>
      <c r="O26" s="401"/>
      <c r="P26" s="401"/>
      <c r="Q26" s="215"/>
      <c r="R26" s="402"/>
      <c r="S26" s="403"/>
      <c r="T26" s="221"/>
      <c r="U26" s="221"/>
      <c r="V26" s="221"/>
      <c r="W26" s="391" t="s">
        <v>68</v>
      </c>
      <c r="X26" s="392"/>
      <c r="Y26" s="392"/>
      <c r="Z26" s="392"/>
      <c r="AA26" s="189"/>
      <c r="AB26" s="189"/>
      <c r="AC26" s="190">
        <f>AC24/X2</f>
        <v>0.5422175</v>
      </c>
      <c r="AD26" s="122"/>
      <c r="AE26" s="122"/>
      <c r="AF26" s="122"/>
    </row>
    <row r="27" spans="1:32" ht="37.5" customHeight="1">
      <c r="A27" s="220"/>
      <c r="B27" s="393"/>
      <c r="C27" s="393"/>
      <c r="D27" s="63"/>
      <c r="E27" s="63"/>
      <c r="F27" s="63"/>
      <c r="G27" s="393"/>
      <c r="H27" s="393"/>
      <c r="I27" s="393"/>
      <c r="J27" s="393"/>
      <c r="K27" s="393"/>
      <c r="L27" s="393"/>
      <c r="M27" s="235">
        <f ca="1">NOW()</f>
        <v>41359.56477372685</v>
      </c>
      <c r="N27" s="236" t="s">
        <v>19</v>
      </c>
      <c r="O27" s="192" t="s">
        <v>20</v>
      </c>
      <c r="P27" s="192" t="s">
        <v>21</v>
      </c>
      <c r="Q27" s="192" t="s">
        <v>22</v>
      </c>
      <c r="R27" s="395" t="s">
        <v>8</v>
      </c>
      <c r="S27" s="396"/>
      <c r="T27" s="195"/>
      <c r="U27" s="195"/>
      <c r="V27" s="195"/>
      <c r="W27" s="526" t="s">
        <v>69</v>
      </c>
      <c r="X27" s="527"/>
      <c r="Y27" s="237"/>
      <c r="Z27" s="237"/>
      <c r="AA27" s="222" t="s">
        <v>23</v>
      </c>
      <c r="AB27" s="385" t="s">
        <v>24</v>
      </c>
      <c r="AC27" s="386"/>
      <c r="AD27" s="122"/>
      <c r="AE27" s="122"/>
      <c r="AF27" s="122"/>
    </row>
    <row r="28" spans="14:29" ht="19.5" customHeight="1" thickBot="1">
      <c r="N28" s="123">
        <v>1</v>
      </c>
      <c r="O28" s="124"/>
      <c r="P28" s="125">
        <f>AC24</f>
        <v>54.22175</v>
      </c>
      <c r="Q28" s="126">
        <v>0</v>
      </c>
      <c r="R28" s="387">
        <f>P28+Q28</f>
        <v>54.22175</v>
      </c>
      <c r="S28" s="388"/>
      <c r="T28" s="127"/>
      <c r="U28" s="128"/>
      <c r="V28" s="128"/>
      <c r="W28" s="119"/>
      <c r="X28" s="129">
        <f>AC26/AA28</f>
        <v>1.8073916666666667</v>
      </c>
      <c r="Y28" s="129"/>
      <c r="Z28" s="129"/>
      <c r="AA28" s="130">
        <v>0.3</v>
      </c>
      <c r="AB28" s="389">
        <f ca="1">NOW()</f>
        <v>41359.56477372685</v>
      </c>
      <c r="AC28" s="390"/>
    </row>
  </sheetData>
  <sheetProtection/>
  <mergeCells count="104">
    <mergeCell ref="AB27:AC27"/>
    <mergeCell ref="R28:S28"/>
    <mergeCell ref="AB28:AC28"/>
    <mergeCell ref="W26:Z26"/>
    <mergeCell ref="B27:C27"/>
    <mergeCell ref="G27:H27"/>
    <mergeCell ref="I27:J27"/>
    <mergeCell ref="K27:L27"/>
    <mergeCell ref="R27:S27"/>
    <mergeCell ref="W27:X27"/>
    <mergeCell ref="R25:S25"/>
    <mergeCell ref="B26:C26"/>
    <mergeCell ref="G26:H26"/>
    <mergeCell ref="I26:J26"/>
    <mergeCell ref="K26:L26"/>
    <mergeCell ref="N26:P26"/>
    <mergeCell ref="R26:S26"/>
    <mergeCell ref="A23:K23"/>
    <mergeCell ref="N23:Q23"/>
    <mergeCell ref="A24:E24"/>
    <mergeCell ref="G24:H24"/>
    <mergeCell ref="I24:K24"/>
    <mergeCell ref="P24:Q24"/>
    <mergeCell ref="A21:D21"/>
    <mergeCell ref="E21:F21"/>
    <mergeCell ref="H21:M21"/>
    <mergeCell ref="N21:Q21"/>
    <mergeCell ref="N22:Q22"/>
    <mergeCell ref="R22:AB22"/>
    <mergeCell ref="A20:D20"/>
    <mergeCell ref="E20:F20"/>
    <mergeCell ref="H20:M20"/>
    <mergeCell ref="N20:Q20"/>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I3:K3"/>
    <mergeCell ref="P3:V4"/>
    <mergeCell ref="A5:D5"/>
    <mergeCell ref="E5:F5"/>
    <mergeCell ref="G5:M5"/>
    <mergeCell ref="N5:Q5"/>
    <mergeCell ref="A1:K1"/>
    <mergeCell ref="N1:AC1"/>
    <mergeCell ref="A2:B2"/>
    <mergeCell ref="C2:G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54" customWidth="1"/>
    <col min="2" max="3" width="9.140625" style="254" customWidth="1"/>
    <col min="4" max="4" width="10.8515625" style="254" customWidth="1"/>
    <col min="5" max="5" width="9.140625" style="254" customWidth="1"/>
    <col min="6" max="6" width="11.421875" style="254" customWidth="1"/>
    <col min="7" max="7" width="4.8515625" style="254" customWidth="1"/>
    <col min="8" max="8" width="8.57421875" style="254" customWidth="1"/>
    <col min="9" max="9" width="9.8515625" style="254" customWidth="1"/>
    <col min="10" max="10" width="8.57421875" style="254" customWidth="1"/>
    <col min="11" max="12" width="13.7109375" style="254" customWidth="1"/>
    <col min="13" max="13" width="33.28125" style="254" customWidth="1"/>
    <col min="14" max="16" width="9.140625" style="254" customWidth="1"/>
    <col min="17" max="17" width="11.8515625" style="254" customWidth="1"/>
    <col min="18" max="18" width="9.57421875" style="254" customWidth="1"/>
    <col min="19" max="19" width="8.140625" style="254" customWidth="1"/>
    <col min="20" max="20" width="10.421875" style="254" customWidth="1"/>
    <col min="21" max="21" width="9.8515625" style="254" customWidth="1"/>
    <col min="22" max="22" width="10.140625" style="254" customWidth="1"/>
    <col min="23" max="23" width="11.140625" style="254" customWidth="1"/>
    <col min="24" max="24" width="11.57421875" style="254" customWidth="1"/>
    <col min="25" max="25" width="4.28125" style="254" customWidth="1"/>
    <col min="26" max="26" width="10.7109375" style="254" customWidth="1"/>
    <col min="27" max="27" width="9.00390625" style="254" customWidth="1"/>
    <col min="28" max="28" width="9.28125" style="254" customWidth="1"/>
    <col min="29" max="29" width="11.57421875" style="254" customWidth="1"/>
    <col min="30" max="32" width="9.00390625" style="254" customWidth="1"/>
    <col min="33" max="16384" width="9.140625" style="254"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48"/>
      <c r="AE1" s="248"/>
      <c r="AF1" s="248"/>
      <c r="AG1" s="70"/>
      <c r="AH1" s="70"/>
    </row>
    <row r="2" spans="1:34" ht="52.5" customHeight="1" thickBot="1">
      <c r="A2" s="450" t="s">
        <v>44</v>
      </c>
      <c r="B2" s="450"/>
      <c r="C2" s="469" t="s">
        <v>152</v>
      </c>
      <c r="D2" s="469"/>
      <c r="E2" s="469"/>
      <c r="F2" s="469"/>
      <c r="G2" s="469"/>
      <c r="H2" s="257" t="s">
        <v>55</v>
      </c>
      <c r="I2" s="151">
        <v>50</v>
      </c>
      <c r="J2" s="257" t="s">
        <v>48</v>
      </c>
      <c r="K2" s="516" t="s">
        <v>116</v>
      </c>
      <c r="L2" s="517"/>
      <c r="M2" s="153"/>
      <c r="N2" s="470" t="s">
        <v>17</v>
      </c>
      <c r="O2" s="470"/>
      <c r="P2" s="471" t="str">
        <f>C2</f>
        <v>Grilled Vegetable Display Tray</v>
      </c>
      <c r="Q2" s="471"/>
      <c r="R2" s="471"/>
      <c r="S2" s="471"/>
      <c r="T2" s="472"/>
      <c r="U2" s="77"/>
      <c r="V2" s="77"/>
      <c r="W2" s="257" t="s">
        <v>55</v>
      </c>
      <c r="X2" s="78">
        <f>I2</f>
        <v>50</v>
      </c>
      <c r="Y2" s="79"/>
      <c r="Z2" s="80" t="s">
        <v>53</v>
      </c>
      <c r="AA2" s="518" t="s">
        <v>117</v>
      </c>
      <c r="AB2" s="398"/>
      <c r="AC2" s="398"/>
      <c r="AD2" s="84"/>
      <c r="AE2" s="84"/>
      <c r="AF2" s="84"/>
      <c r="AG2" s="83"/>
      <c r="AH2" s="83"/>
    </row>
    <row r="3" spans="1:34" ht="11.25" customHeight="1">
      <c r="A3" s="251"/>
      <c r="B3" s="230"/>
      <c r="C3" s="519"/>
      <c r="D3" s="520"/>
      <c r="E3" s="520"/>
      <c r="F3" s="520"/>
      <c r="G3" s="520"/>
      <c r="H3" s="231"/>
      <c r="I3" s="248"/>
      <c r="J3" s="257"/>
      <c r="K3" s="81"/>
      <c r="L3" s="85"/>
      <c r="M3" s="86"/>
      <c r="N3" s="257"/>
      <c r="O3" s="257"/>
      <c r="P3" s="522">
        <f>C3</f>
        <v>0</v>
      </c>
      <c r="Q3" s="523"/>
      <c r="R3" s="523"/>
      <c r="S3" s="523"/>
      <c r="T3" s="523"/>
      <c r="U3" s="523"/>
      <c r="V3" s="523"/>
      <c r="W3" s="257"/>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48"/>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50" t="s">
        <v>31</v>
      </c>
      <c r="S5" s="252" t="s">
        <v>2</v>
      </c>
      <c r="T5" s="250" t="s">
        <v>51</v>
      </c>
      <c r="U5" s="250" t="s">
        <v>30</v>
      </c>
      <c r="V5" s="250" t="s">
        <v>49</v>
      </c>
      <c r="W5" s="250" t="s">
        <v>57</v>
      </c>
      <c r="X5" s="442" t="s">
        <v>75</v>
      </c>
      <c r="Y5" s="442"/>
      <c r="Z5" s="250" t="s">
        <v>50</v>
      </c>
      <c r="AA5" s="250" t="s">
        <v>13</v>
      </c>
      <c r="AB5" s="250" t="s">
        <v>61</v>
      </c>
      <c r="AC5" s="133" t="s">
        <v>62</v>
      </c>
      <c r="AD5" s="248"/>
      <c r="AE5" s="248"/>
      <c r="AF5" s="248"/>
    </row>
    <row r="6" spans="1:32" ht="18.75" customHeight="1">
      <c r="A6" s="443" t="s">
        <v>118</v>
      </c>
      <c r="B6" s="444"/>
      <c r="C6" s="444"/>
      <c r="D6" s="445"/>
      <c r="E6" s="446" t="s">
        <v>119</v>
      </c>
      <c r="F6" s="447"/>
      <c r="G6" s="91">
        <v>1</v>
      </c>
      <c r="H6" s="444" t="s">
        <v>154</v>
      </c>
      <c r="I6" s="500"/>
      <c r="J6" s="500"/>
      <c r="K6" s="500"/>
      <c r="L6" s="500"/>
      <c r="M6" s="501"/>
      <c r="N6" s="429" t="str">
        <f aca="true" t="shared" si="0" ref="N6:N15">A6</f>
        <v>Onion, Red, Sliced 1/2 in thick</v>
      </c>
      <c r="O6" s="430"/>
      <c r="P6" s="430"/>
      <c r="Q6" s="430"/>
      <c r="R6" s="232">
        <v>0.02</v>
      </c>
      <c r="S6" s="161" t="s">
        <v>80</v>
      </c>
      <c r="T6" s="162">
        <f>R6*X2</f>
        <v>1</v>
      </c>
      <c r="U6" s="172">
        <f>(X2*R6)/AA6</f>
        <v>1.1111111111111112</v>
      </c>
      <c r="V6" s="164" t="s">
        <v>163</v>
      </c>
      <c r="W6" s="165">
        <v>17.97</v>
      </c>
      <c r="X6" s="166">
        <f>U6/1</f>
        <v>1.1111111111111112</v>
      </c>
      <c r="Y6" s="166"/>
      <c r="Z6" s="167">
        <f>(W6/25)*X6</f>
        <v>0.7986666666666667</v>
      </c>
      <c r="AA6" s="168">
        <v>0.9</v>
      </c>
      <c r="AB6" s="169">
        <f>Z6/X2</f>
        <v>0.015973333333333336</v>
      </c>
      <c r="AC6" s="170">
        <f>X2*AB6</f>
        <v>0.7986666666666667</v>
      </c>
      <c r="AD6" s="103"/>
      <c r="AE6" s="103"/>
      <c r="AF6" s="103"/>
    </row>
    <row r="7" spans="1:32" ht="18.75" customHeight="1">
      <c r="A7" s="431" t="s">
        <v>120</v>
      </c>
      <c r="B7" s="432"/>
      <c r="C7" s="432"/>
      <c r="D7" s="433"/>
      <c r="E7" s="436" t="s">
        <v>121</v>
      </c>
      <c r="F7" s="435"/>
      <c r="G7" s="91"/>
      <c r="H7" s="432" t="s">
        <v>122</v>
      </c>
      <c r="I7" s="483"/>
      <c r="J7" s="483"/>
      <c r="K7" s="483"/>
      <c r="L7" s="483"/>
      <c r="M7" s="484"/>
      <c r="N7" s="429" t="str">
        <f t="shared" si="0"/>
        <v>Eggplant, Slice 1/4 in thick, long way</v>
      </c>
      <c r="O7" s="430"/>
      <c r="P7" s="430"/>
      <c r="Q7" s="430"/>
      <c r="R7" s="232">
        <v>0.04</v>
      </c>
      <c r="S7" s="161" t="s">
        <v>80</v>
      </c>
      <c r="T7" s="176">
        <f>X2*R7</f>
        <v>2</v>
      </c>
      <c r="U7" s="172">
        <f>(X2*R7)/AA7</f>
        <v>2.4691358024691357</v>
      </c>
      <c r="V7" s="164" t="s">
        <v>164</v>
      </c>
      <c r="W7" s="165">
        <v>16.35</v>
      </c>
      <c r="X7" s="166">
        <f>U7/1</f>
        <v>2.4691358024691357</v>
      </c>
      <c r="Y7" s="166"/>
      <c r="Z7" s="167">
        <f>(W7/10)*X7</f>
        <v>4.037037037037037</v>
      </c>
      <c r="AA7" s="168">
        <v>0.81</v>
      </c>
      <c r="AB7" s="169">
        <f>Z7/X2</f>
        <v>0.08074074074074074</v>
      </c>
      <c r="AC7" s="170">
        <f>X2*AB7</f>
        <v>4.037037037037037</v>
      </c>
      <c r="AD7" s="103"/>
      <c r="AE7" s="103"/>
      <c r="AF7" s="103"/>
    </row>
    <row r="8" spans="1:32" ht="18.75" customHeight="1">
      <c r="A8" s="431" t="s">
        <v>123</v>
      </c>
      <c r="B8" s="432"/>
      <c r="C8" s="432"/>
      <c r="D8" s="433"/>
      <c r="E8" s="434" t="s">
        <v>121</v>
      </c>
      <c r="F8" s="435"/>
      <c r="G8" s="91">
        <v>2</v>
      </c>
      <c r="H8" s="432" t="s">
        <v>124</v>
      </c>
      <c r="I8" s="483"/>
      <c r="J8" s="483"/>
      <c r="K8" s="483"/>
      <c r="L8" s="483"/>
      <c r="M8" s="484"/>
      <c r="N8" s="429" t="str">
        <f>A8</f>
        <v>Zucchini, Slice 1/4 in thick, long way</v>
      </c>
      <c r="O8" s="430"/>
      <c r="P8" s="430"/>
      <c r="Q8" s="430"/>
      <c r="R8" s="79">
        <v>0.04</v>
      </c>
      <c r="S8" s="161" t="s">
        <v>80</v>
      </c>
      <c r="T8" s="162">
        <f>X2*R8</f>
        <v>2</v>
      </c>
      <c r="U8" s="172">
        <f>(X2*R8)/AA8</f>
        <v>2.1052631578947367</v>
      </c>
      <c r="V8" s="164" t="s">
        <v>165</v>
      </c>
      <c r="W8" s="165">
        <v>9.41</v>
      </c>
      <c r="X8" s="166">
        <f>U8/1</f>
        <v>2.1052631578947367</v>
      </c>
      <c r="Y8" s="166"/>
      <c r="Z8" s="167">
        <f>(W8/5)*X8</f>
        <v>3.962105263157895</v>
      </c>
      <c r="AA8" s="168">
        <v>0.95</v>
      </c>
      <c r="AB8" s="169">
        <f>Z8/X2</f>
        <v>0.07924210526315789</v>
      </c>
      <c r="AC8" s="170">
        <f>X2*AB8</f>
        <v>3.962105263157895</v>
      </c>
      <c r="AD8" s="103"/>
      <c r="AE8" s="103"/>
      <c r="AF8" s="103"/>
    </row>
    <row r="9" spans="1:32" ht="18.75" customHeight="1">
      <c r="A9" s="431" t="s">
        <v>125</v>
      </c>
      <c r="B9" s="432"/>
      <c r="C9" s="432"/>
      <c r="D9" s="433"/>
      <c r="E9" s="436" t="s">
        <v>121</v>
      </c>
      <c r="F9" s="435"/>
      <c r="G9" s="91"/>
      <c r="H9" s="432"/>
      <c r="I9" s="483"/>
      <c r="J9" s="483"/>
      <c r="K9" s="483"/>
      <c r="L9" s="483"/>
      <c r="M9" s="484"/>
      <c r="N9" s="429" t="str">
        <f t="shared" si="0"/>
        <v>Yellow, Squash, Slice 1/4 in thick, long way</v>
      </c>
      <c r="O9" s="430"/>
      <c r="P9" s="430"/>
      <c r="Q9" s="430"/>
      <c r="R9" s="79">
        <v>0.04</v>
      </c>
      <c r="S9" s="161" t="s">
        <v>80</v>
      </c>
      <c r="T9" s="162">
        <f>X2*R9</f>
        <v>2</v>
      </c>
      <c r="U9" s="172">
        <f>(X2*R9)/AA9</f>
        <v>2.1052631578947367</v>
      </c>
      <c r="V9" s="164" t="s">
        <v>165</v>
      </c>
      <c r="W9" s="165">
        <v>11.04</v>
      </c>
      <c r="X9" s="166">
        <f>(U9/1)</f>
        <v>2.1052631578947367</v>
      </c>
      <c r="Y9" s="166"/>
      <c r="Z9" s="167">
        <f>(W9/5)*X9</f>
        <v>4.648421052631578</v>
      </c>
      <c r="AA9" s="168">
        <v>0.95</v>
      </c>
      <c r="AB9" s="169">
        <f>Z9/X2</f>
        <v>0.09296842105263156</v>
      </c>
      <c r="AC9" s="170">
        <f>X2*AB9</f>
        <v>4.648421052631578</v>
      </c>
      <c r="AD9" s="103"/>
      <c r="AE9" s="103"/>
      <c r="AF9" s="103"/>
    </row>
    <row r="10" spans="1:32" ht="30.75" customHeight="1">
      <c r="A10" s="431" t="s">
        <v>126</v>
      </c>
      <c r="B10" s="432"/>
      <c r="C10" s="432"/>
      <c r="D10" s="433"/>
      <c r="E10" s="436" t="s">
        <v>121</v>
      </c>
      <c r="F10" s="435"/>
      <c r="G10" s="91"/>
      <c r="H10" s="432"/>
      <c r="I10" s="494"/>
      <c r="J10" s="494"/>
      <c r="K10" s="494"/>
      <c r="L10" s="494"/>
      <c r="M10" s="495"/>
      <c r="N10" s="429" t="str">
        <f t="shared" si="0"/>
        <v>Mushroom Portobello, Whole Caps, (grill whole and then slice)</v>
      </c>
      <c r="O10" s="430"/>
      <c r="P10" s="430"/>
      <c r="Q10" s="430"/>
      <c r="R10" s="174">
        <v>0.04</v>
      </c>
      <c r="S10" s="161" t="s">
        <v>80</v>
      </c>
      <c r="T10" s="162">
        <f>X2*R10</f>
        <v>2</v>
      </c>
      <c r="U10" s="172">
        <f>(X2*R10)/AA10</f>
        <v>2</v>
      </c>
      <c r="V10" s="164" t="s">
        <v>165</v>
      </c>
      <c r="W10" s="165">
        <v>14.03</v>
      </c>
      <c r="X10" s="166">
        <f aca="true" t="shared" si="1" ref="X10:X15">U10/1</f>
        <v>2</v>
      </c>
      <c r="Y10" s="166"/>
      <c r="Z10" s="167">
        <f>(W10/5)*X10</f>
        <v>5.612</v>
      </c>
      <c r="AA10" s="168">
        <v>1</v>
      </c>
      <c r="AB10" s="169">
        <f>Z10/X2</f>
        <v>0.11224</v>
      </c>
      <c r="AC10" s="170">
        <f>X2*AB10</f>
        <v>5.612</v>
      </c>
      <c r="AD10" s="103"/>
      <c r="AE10" s="103"/>
      <c r="AF10" s="103"/>
    </row>
    <row r="11" spans="1:32" ht="18.75" customHeight="1">
      <c r="A11" s="431" t="s">
        <v>127</v>
      </c>
      <c r="B11" s="432"/>
      <c r="C11" s="432"/>
      <c r="D11" s="433"/>
      <c r="E11" s="436" t="s">
        <v>119</v>
      </c>
      <c r="F11" s="435"/>
      <c r="G11" s="91"/>
      <c r="H11" s="432" t="s">
        <v>128</v>
      </c>
      <c r="I11" s="494"/>
      <c r="J11" s="494"/>
      <c r="K11" s="494"/>
      <c r="L11" s="494"/>
      <c r="M11" s="495"/>
      <c r="N11" s="438" t="str">
        <f t="shared" si="0"/>
        <v>Pepper, Red, Planks</v>
      </c>
      <c r="O11" s="439"/>
      <c r="P11" s="439"/>
      <c r="Q11" s="439"/>
      <c r="R11" s="79">
        <v>0.02</v>
      </c>
      <c r="S11" s="161" t="s">
        <v>80</v>
      </c>
      <c r="T11" s="162">
        <f>X2*R11</f>
        <v>1</v>
      </c>
      <c r="U11" s="172">
        <f>(X2*R11)/AA11</f>
        <v>1.2195121951219512</v>
      </c>
      <c r="V11" s="233" t="s">
        <v>165</v>
      </c>
      <c r="W11" s="165">
        <v>14.45</v>
      </c>
      <c r="X11" s="166">
        <f t="shared" si="1"/>
        <v>1.2195121951219512</v>
      </c>
      <c r="Y11" s="166"/>
      <c r="Z11" s="167">
        <f>(W11/5)*X11</f>
        <v>3.5243902439024386</v>
      </c>
      <c r="AA11" s="168">
        <v>0.82</v>
      </c>
      <c r="AB11" s="169">
        <f>Z11/X2</f>
        <v>0.07048780487804877</v>
      </c>
      <c r="AC11" s="170">
        <f>X2*AB11</f>
        <v>3.5243902439024386</v>
      </c>
      <c r="AD11" s="103"/>
      <c r="AE11" s="103"/>
      <c r="AF11" s="103"/>
    </row>
    <row r="12" spans="1:32" ht="18.75" customHeight="1">
      <c r="A12" s="431" t="s">
        <v>129</v>
      </c>
      <c r="B12" s="432"/>
      <c r="C12" s="432"/>
      <c r="D12" s="433"/>
      <c r="E12" s="436" t="s">
        <v>130</v>
      </c>
      <c r="F12" s="435"/>
      <c r="G12" s="91"/>
      <c r="H12" s="432"/>
      <c r="I12" s="494"/>
      <c r="J12" s="494"/>
      <c r="K12" s="494"/>
      <c r="L12" s="494"/>
      <c r="M12" s="495"/>
      <c r="N12" s="431" t="str">
        <f>A12</f>
        <v>Oil, Olive,  Extra Virgin</v>
      </c>
      <c r="O12" s="437"/>
      <c r="P12" s="437"/>
      <c r="Q12" s="437"/>
      <c r="R12" s="232">
        <v>0.04</v>
      </c>
      <c r="S12" s="161" t="s">
        <v>67</v>
      </c>
      <c r="T12" s="162">
        <f>X2*R12</f>
        <v>2</v>
      </c>
      <c r="U12" s="172">
        <f>(X2*R12)/AA12</f>
        <v>2</v>
      </c>
      <c r="V12" s="234" t="s">
        <v>166</v>
      </c>
      <c r="W12" s="165">
        <v>20.04</v>
      </c>
      <c r="X12" s="166">
        <f t="shared" si="1"/>
        <v>2</v>
      </c>
      <c r="Y12" s="166"/>
      <c r="Z12" s="167">
        <f>(W12/16)*X12</f>
        <v>2.505</v>
      </c>
      <c r="AA12" s="168">
        <v>1</v>
      </c>
      <c r="AB12" s="169">
        <f>Z12/X2</f>
        <v>0.0501</v>
      </c>
      <c r="AC12" s="170">
        <f>X2*AB12</f>
        <v>2.505</v>
      </c>
      <c r="AD12" s="103"/>
      <c r="AE12" s="103"/>
      <c r="AF12" s="103"/>
    </row>
    <row r="13" spans="1:32" ht="18.75" customHeight="1">
      <c r="A13" s="431" t="s">
        <v>153</v>
      </c>
      <c r="B13" s="432"/>
      <c r="C13" s="432"/>
      <c r="D13" s="433"/>
      <c r="E13" s="434"/>
      <c r="F13" s="435"/>
      <c r="G13" s="91"/>
      <c r="H13" s="432" t="s">
        <v>132</v>
      </c>
      <c r="I13" s="483"/>
      <c r="J13" s="483"/>
      <c r="K13" s="483"/>
      <c r="L13" s="483"/>
      <c r="M13" s="484"/>
      <c r="N13" s="429" t="str">
        <f t="shared" si="0"/>
        <v>Salt to taste </v>
      </c>
      <c r="O13" s="430"/>
      <c r="P13" s="430"/>
      <c r="Q13" s="430"/>
      <c r="R13" s="79"/>
      <c r="S13" s="161"/>
      <c r="T13" s="162">
        <f>X2*R13</f>
        <v>0</v>
      </c>
      <c r="U13" s="172">
        <f>(X2*R13)/AA13</f>
        <v>0</v>
      </c>
      <c r="V13" s="164"/>
      <c r="W13" s="165"/>
      <c r="X13" s="166">
        <f t="shared" si="1"/>
        <v>0</v>
      </c>
      <c r="Y13" s="166"/>
      <c r="Z13" s="167">
        <f>(W13/5)*X13</f>
        <v>0</v>
      </c>
      <c r="AA13" s="168">
        <v>1</v>
      </c>
      <c r="AB13" s="169">
        <f>Z13/X2</f>
        <v>0</v>
      </c>
      <c r="AC13" s="170">
        <f>X2*AB13</f>
        <v>0</v>
      </c>
      <c r="AD13" s="103"/>
      <c r="AE13" s="103"/>
      <c r="AF13" s="103"/>
    </row>
    <row r="14" spans="1:32" ht="18.75" customHeight="1">
      <c r="A14" s="431" t="s">
        <v>133</v>
      </c>
      <c r="B14" s="432"/>
      <c r="C14" s="432"/>
      <c r="D14" s="433"/>
      <c r="E14" s="434" t="s">
        <v>134</v>
      </c>
      <c r="F14" s="435"/>
      <c r="G14" s="91"/>
      <c r="H14" s="432"/>
      <c r="I14" s="483"/>
      <c r="J14" s="483"/>
      <c r="K14" s="483"/>
      <c r="L14" s="483"/>
      <c r="M14" s="484"/>
      <c r="N14" s="429" t="str">
        <f t="shared" si="0"/>
        <v>Pepper, Black, Ground </v>
      </c>
      <c r="O14" s="430"/>
      <c r="P14" s="430"/>
      <c r="Q14" s="430"/>
      <c r="R14" s="79"/>
      <c r="S14" s="161"/>
      <c r="T14" s="162">
        <f>X2*R14</f>
        <v>0</v>
      </c>
      <c r="U14" s="172">
        <f>(X2*R14)/AA14</f>
        <v>0</v>
      </c>
      <c r="V14" s="164"/>
      <c r="W14" s="165"/>
      <c r="X14" s="166">
        <f t="shared" si="1"/>
        <v>0</v>
      </c>
      <c r="Y14" s="166"/>
      <c r="Z14" s="167">
        <f>(W14/5)*X14</f>
        <v>0</v>
      </c>
      <c r="AA14" s="168">
        <v>1</v>
      </c>
      <c r="AB14" s="169">
        <f>Z14/X2</f>
        <v>0</v>
      </c>
      <c r="AC14" s="170">
        <f>X2*AB14</f>
        <v>0</v>
      </c>
      <c r="AD14" s="103"/>
      <c r="AE14" s="103"/>
      <c r="AF14" s="103"/>
    </row>
    <row r="15" spans="1:32" ht="18.75" customHeight="1">
      <c r="A15" s="431"/>
      <c r="B15" s="432"/>
      <c r="C15" s="432"/>
      <c r="D15" s="433"/>
      <c r="E15" s="434"/>
      <c r="F15" s="435"/>
      <c r="G15" s="91"/>
      <c r="H15" s="432"/>
      <c r="I15" s="483"/>
      <c r="J15" s="483"/>
      <c r="K15" s="483"/>
      <c r="L15" s="483"/>
      <c r="M15" s="484"/>
      <c r="N15" s="429">
        <f t="shared" si="0"/>
        <v>0</v>
      </c>
      <c r="O15" s="430"/>
      <c r="P15" s="430"/>
      <c r="Q15" s="430"/>
      <c r="R15" s="79"/>
      <c r="S15" s="161"/>
      <c r="T15" s="162">
        <f>X2*R15</f>
        <v>0</v>
      </c>
      <c r="U15" s="172">
        <f>(X2*R15)/AA15</f>
        <v>0</v>
      </c>
      <c r="V15" s="164"/>
      <c r="W15" s="165"/>
      <c r="X15" s="166">
        <f t="shared" si="1"/>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c r="H16" s="432"/>
      <c r="I16" s="483"/>
      <c r="J16" s="483"/>
      <c r="K16" s="483"/>
      <c r="L16" s="483"/>
      <c r="M16" s="484"/>
      <c r="N16" s="429"/>
      <c r="O16" s="430"/>
      <c r="P16" s="430"/>
      <c r="Q16" s="430"/>
      <c r="R16" s="79"/>
      <c r="S16" s="161"/>
      <c r="T16" s="162"/>
      <c r="U16" s="172"/>
      <c r="V16" s="164"/>
      <c r="W16" s="165"/>
      <c r="X16" s="166"/>
      <c r="Y16" s="166"/>
      <c r="Z16" s="167"/>
      <c r="AA16" s="168"/>
      <c r="AB16" s="169"/>
      <c r="AC16" s="170"/>
      <c r="AD16" s="103"/>
      <c r="AE16" s="103"/>
      <c r="AF16" s="103"/>
    </row>
    <row r="17" spans="1:32" ht="18.75" customHeight="1">
      <c r="A17" s="431"/>
      <c r="B17" s="432"/>
      <c r="C17" s="432"/>
      <c r="D17" s="433"/>
      <c r="E17" s="434"/>
      <c r="F17" s="435"/>
      <c r="G17" s="91"/>
      <c r="H17" s="432"/>
      <c r="I17" s="483"/>
      <c r="J17" s="483"/>
      <c r="K17" s="483"/>
      <c r="L17" s="483"/>
      <c r="M17" s="484"/>
      <c r="N17" s="429"/>
      <c r="O17" s="430"/>
      <c r="P17" s="430"/>
      <c r="Q17" s="430"/>
      <c r="R17" s="79"/>
      <c r="S17" s="161"/>
      <c r="T17" s="162"/>
      <c r="U17" s="172"/>
      <c r="V17" s="164"/>
      <c r="W17" s="165"/>
      <c r="X17" s="166"/>
      <c r="Y17" s="166"/>
      <c r="Z17" s="167"/>
      <c r="AA17" s="168"/>
      <c r="AB17" s="169"/>
      <c r="AC17" s="170"/>
      <c r="AD17" s="103"/>
      <c r="AE17" s="103"/>
      <c r="AF17" s="103"/>
    </row>
    <row r="18" spans="1:32" ht="18.75" customHeight="1">
      <c r="A18" s="431"/>
      <c r="B18" s="432"/>
      <c r="C18" s="432"/>
      <c r="D18" s="433"/>
      <c r="E18" s="434"/>
      <c r="F18" s="435"/>
      <c r="G18" s="91"/>
      <c r="H18" s="432"/>
      <c r="I18" s="483"/>
      <c r="J18" s="483"/>
      <c r="K18" s="483"/>
      <c r="L18" s="483"/>
      <c r="M18" s="484"/>
      <c r="N18" s="429"/>
      <c r="O18" s="430"/>
      <c r="P18" s="430"/>
      <c r="Q18" s="430"/>
      <c r="R18" s="79"/>
      <c r="S18" s="161"/>
      <c r="T18" s="162"/>
      <c r="U18" s="177"/>
      <c r="V18" s="164"/>
      <c r="W18" s="165"/>
      <c r="X18" s="166"/>
      <c r="Y18" s="166"/>
      <c r="Z18" s="167"/>
      <c r="AA18" s="168"/>
      <c r="AB18" s="169"/>
      <c r="AC18" s="170"/>
      <c r="AD18" s="103"/>
      <c r="AE18" s="103"/>
      <c r="AF18" s="103"/>
    </row>
    <row r="19" spans="1:32" ht="18.75" customHeight="1">
      <c r="A19" s="431"/>
      <c r="B19" s="432"/>
      <c r="C19" s="432"/>
      <c r="D19" s="433"/>
      <c r="E19" s="434"/>
      <c r="F19" s="435"/>
      <c r="G19" s="91"/>
      <c r="H19" s="432"/>
      <c r="I19" s="483"/>
      <c r="J19" s="483"/>
      <c r="K19" s="483"/>
      <c r="L19" s="483"/>
      <c r="M19" s="484"/>
      <c r="N19" s="429"/>
      <c r="O19" s="430"/>
      <c r="P19" s="430"/>
      <c r="Q19" s="430"/>
      <c r="R19" s="79"/>
      <c r="S19" s="161"/>
      <c r="T19" s="162"/>
      <c r="U19" s="177"/>
      <c r="V19" s="164"/>
      <c r="W19" s="165"/>
      <c r="X19" s="166"/>
      <c r="Y19" s="166"/>
      <c r="Z19" s="167"/>
      <c r="AA19" s="168"/>
      <c r="AB19" s="169"/>
      <c r="AC19" s="170"/>
      <c r="AD19" s="103"/>
      <c r="AE19" s="103"/>
      <c r="AF19" s="103"/>
    </row>
    <row r="20" spans="1:32" ht="18.75" customHeight="1">
      <c r="A20" s="431"/>
      <c r="B20" s="432"/>
      <c r="C20" s="432"/>
      <c r="D20" s="433"/>
      <c r="E20" s="434"/>
      <c r="F20" s="435"/>
      <c r="G20" s="91"/>
      <c r="H20" s="432"/>
      <c r="I20" s="483"/>
      <c r="J20" s="483"/>
      <c r="K20" s="483"/>
      <c r="L20" s="483"/>
      <c r="M20" s="484"/>
      <c r="N20" s="429"/>
      <c r="O20" s="430"/>
      <c r="P20" s="430"/>
      <c r="Q20" s="430"/>
      <c r="R20" s="79"/>
      <c r="S20" s="161"/>
      <c r="T20" s="162"/>
      <c r="U20" s="177"/>
      <c r="V20" s="164"/>
      <c r="W20" s="165"/>
      <c r="X20" s="166"/>
      <c r="Y20" s="166"/>
      <c r="Z20" s="167"/>
      <c r="AA20" s="168"/>
      <c r="AB20" s="169"/>
      <c r="AC20" s="170"/>
      <c r="AD20" s="103"/>
      <c r="AE20" s="103"/>
      <c r="AF20" s="103"/>
    </row>
    <row r="21" spans="1:32" ht="25.5" customHeight="1">
      <c r="A21" s="431"/>
      <c r="B21" s="432"/>
      <c r="C21" s="432"/>
      <c r="D21" s="433"/>
      <c r="E21" s="434"/>
      <c r="F21" s="435"/>
      <c r="G21" s="91"/>
      <c r="H21" s="432"/>
      <c r="I21" s="483"/>
      <c r="J21" s="483"/>
      <c r="K21" s="483"/>
      <c r="L21" s="483"/>
      <c r="M21" s="484"/>
      <c r="N21" s="429"/>
      <c r="O21" s="430"/>
      <c r="P21" s="430"/>
      <c r="Q21" s="430"/>
      <c r="R21" s="79"/>
      <c r="S21" s="161"/>
      <c r="T21" s="162"/>
      <c r="U21" s="177"/>
      <c r="V21" s="164"/>
      <c r="W21" s="165"/>
      <c r="X21" s="166"/>
      <c r="Y21" s="166"/>
      <c r="Z21" s="167"/>
      <c r="AA21" s="168"/>
      <c r="AB21" s="169"/>
      <c r="AC21" s="170"/>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56"/>
      <c r="M23" s="256"/>
      <c r="N23" s="422" t="s">
        <v>47</v>
      </c>
      <c r="O23" s="423"/>
      <c r="P23" s="423"/>
      <c r="Q23" s="424"/>
      <c r="R23" s="425" t="s">
        <v>7</v>
      </c>
      <c r="S23" s="424"/>
      <c r="T23" s="424"/>
      <c r="U23" s="424"/>
      <c r="V23" s="424"/>
      <c r="W23" s="424"/>
      <c r="X23" s="424"/>
      <c r="Y23" s="424"/>
      <c r="Z23" s="424"/>
      <c r="AA23" s="424"/>
      <c r="AB23" s="424"/>
      <c r="AC23" s="115">
        <f>ROUNDUP(SUM(AC6:AC22),5)</f>
        <v>25.08763</v>
      </c>
      <c r="AD23" s="103"/>
      <c r="AE23" s="103"/>
      <c r="AF23" s="103"/>
    </row>
    <row r="24" spans="1:32" ht="20.25" customHeight="1">
      <c r="A24" s="478" t="s">
        <v>45</v>
      </c>
      <c r="B24" s="479"/>
      <c r="C24" s="479"/>
      <c r="D24" s="479"/>
      <c r="E24" s="479"/>
      <c r="F24" s="479"/>
      <c r="G24" s="479"/>
      <c r="H24" s="479"/>
      <c r="I24" s="479"/>
      <c r="J24" s="479"/>
      <c r="K24" s="480"/>
      <c r="L24" s="258"/>
      <c r="M24" s="258"/>
      <c r="N24" s="524"/>
      <c r="O24" s="525"/>
      <c r="P24" s="525"/>
      <c r="Q24" s="525"/>
      <c r="R24" s="134"/>
      <c r="S24" s="134"/>
      <c r="T24" s="134"/>
      <c r="U24" s="134"/>
      <c r="V24" s="134"/>
      <c r="W24" s="135" t="s">
        <v>9</v>
      </c>
      <c r="X24" s="135"/>
      <c r="Y24" s="135"/>
      <c r="Z24" s="135"/>
      <c r="AA24" s="135"/>
      <c r="AB24" s="135"/>
      <c r="AC24" s="117">
        <f>ROUND(AC23*10/100,5)</f>
        <v>2.50876</v>
      </c>
      <c r="AD24" s="103"/>
      <c r="AE24" s="103"/>
      <c r="AF24" s="103"/>
    </row>
    <row r="25" spans="1:32" ht="30" customHeight="1" thickBot="1">
      <c r="A25" s="409" t="s">
        <v>42</v>
      </c>
      <c r="B25" s="481"/>
      <c r="C25" s="481"/>
      <c r="D25" s="481"/>
      <c r="E25" s="481"/>
      <c r="F25" s="253"/>
      <c r="G25" s="411" t="s">
        <v>46</v>
      </c>
      <c r="H25" s="411"/>
      <c r="I25" s="411" t="s">
        <v>117</v>
      </c>
      <c r="J25" s="481"/>
      <c r="K25" s="482"/>
      <c r="L25" s="253"/>
      <c r="M25" s="253"/>
      <c r="N25" s="119"/>
      <c r="O25" s="255"/>
      <c r="P25" s="507"/>
      <c r="Q25" s="507"/>
      <c r="R25" s="138"/>
      <c r="S25" s="138"/>
      <c r="T25" s="138"/>
      <c r="U25" s="138"/>
      <c r="V25" s="138"/>
      <c r="W25" s="139" t="s">
        <v>6</v>
      </c>
      <c r="X25" s="139"/>
      <c r="Y25" s="139"/>
      <c r="Z25" s="139"/>
      <c r="AA25" s="139"/>
      <c r="AB25" s="139"/>
      <c r="AC25" s="120">
        <f>AC23+AC24</f>
        <v>27.59639</v>
      </c>
      <c r="AD25" s="103"/>
      <c r="AE25" s="103"/>
      <c r="AF25" s="103"/>
    </row>
    <row r="26" spans="18:32" ht="7.5" customHeight="1" thickBot="1">
      <c r="R26" s="399"/>
      <c r="S26" s="399"/>
      <c r="T26" s="248"/>
      <c r="U26" s="248"/>
      <c r="V26" s="248"/>
      <c r="W26" s="248"/>
      <c r="X26" s="248"/>
      <c r="Y26" s="248"/>
      <c r="Z26" s="248"/>
      <c r="AA26" s="257"/>
      <c r="AB26" s="257"/>
      <c r="AC26" s="257"/>
      <c r="AD26" s="70"/>
      <c r="AE26" s="70"/>
      <c r="AF26" s="70"/>
    </row>
    <row r="27" spans="1:32" ht="20.25" customHeight="1">
      <c r="A27" s="247" t="s">
        <v>35</v>
      </c>
      <c r="B27" s="393" t="s">
        <v>36</v>
      </c>
      <c r="C27" s="393"/>
      <c r="D27" s="63" t="s">
        <v>37</v>
      </c>
      <c r="E27" s="63" t="s">
        <v>38</v>
      </c>
      <c r="F27" s="63" t="s">
        <v>39</v>
      </c>
      <c r="G27" s="393" t="s">
        <v>40</v>
      </c>
      <c r="H27" s="393"/>
      <c r="I27" s="393" t="s">
        <v>162</v>
      </c>
      <c r="J27" s="393"/>
      <c r="K27" s="393" t="s">
        <v>52</v>
      </c>
      <c r="L27" s="393"/>
      <c r="M27" s="247" t="s">
        <v>135</v>
      </c>
      <c r="N27" s="401" t="s">
        <v>5</v>
      </c>
      <c r="O27" s="401"/>
      <c r="P27" s="401"/>
      <c r="Q27" s="256"/>
      <c r="R27" s="402"/>
      <c r="S27" s="403"/>
      <c r="T27" s="249"/>
      <c r="U27" s="249"/>
      <c r="V27" s="249"/>
      <c r="W27" s="391" t="s">
        <v>68</v>
      </c>
      <c r="X27" s="392"/>
      <c r="Y27" s="392"/>
      <c r="Z27" s="392"/>
      <c r="AA27" s="189"/>
      <c r="AB27" s="189"/>
      <c r="AC27" s="190">
        <f>AC25/X2</f>
        <v>0.5519278</v>
      </c>
      <c r="AD27" s="122"/>
      <c r="AE27" s="122"/>
      <c r="AF27" s="122"/>
    </row>
    <row r="28" spans="1:32" ht="37.5" customHeight="1">
      <c r="A28" s="247" t="s">
        <v>155</v>
      </c>
      <c r="B28" s="393" t="s">
        <v>156</v>
      </c>
      <c r="C28" s="393"/>
      <c r="D28" s="63" t="s">
        <v>157</v>
      </c>
      <c r="E28" s="63" t="s">
        <v>158</v>
      </c>
      <c r="F28" s="63" t="s">
        <v>159</v>
      </c>
      <c r="G28" s="393" t="s">
        <v>160</v>
      </c>
      <c r="H28" s="393"/>
      <c r="I28" s="393" t="s">
        <v>161</v>
      </c>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46" t="s">
        <v>23</v>
      </c>
      <c r="AB28" s="385" t="s">
        <v>24</v>
      </c>
      <c r="AC28" s="386"/>
      <c r="AD28" s="122"/>
      <c r="AE28" s="122"/>
      <c r="AF28" s="122"/>
    </row>
    <row r="29" spans="14:29" ht="19.5" customHeight="1" thickBot="1">
      <c r="N29" s="123">
        <v>50</v>
      </c>
      <c r="O29" s="124"/>
      <c r="P29" s="125">
        <f>AC25</f>
        <v>27.59639</v>
      </c>
      <c r="Q29" s="126">
        <v>0</v>
      </c>
      <c r="R29" s="387">
        <f>P29+Q29</f>
        <v>27.59639</v>
      </c>
      <c r="S29" s="388"/>
      <c r="T29" s="127"/>
      <c r="U29" s="128"/>
      <c r="V29" s="128"/>
      <c r="W29" s="119"/>
      <c r="X29" s="129">
        <f>AC27/AA29</f>
        <v>1.8397593333333333</v>
      </c>
      <c r="Y29" s="129"/>
      <c r="Z29" s="129"/>
      <c r="AA29" s="130">
        <v>0.3</v>
      </c>
      <c r="AB29" s="389">
        <f ca="1">NOW()</f>
        <v>41359.56477372685</v>
      </c>
      <c r="AC29" s="390"/>
    </row>
  </sheetData>
  <sheetProtection/>
  <mergeCells count="108">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N2:O2"/>
    <mergeCell ref="P2:T2"/>
    <mergeCell ref="AA2:AC2"/>
    <mergeCell ref="K2:L2"/>
  </mergeCells>
  <hyperlinks>
    <hyperlink ref="M1" location="'Menu List'!A1" display="BACK TO THE MENU LIST"/>
  </hyperlinks>
  <printOptions/>
  <pageMargins left="0.7" right="0.7" top="0.75" bottom="0.75" header="0.3" footer="0.3"/>
  <pageSetup horizontalDpi="600" verticalDpi="600" orientation="landscape" scale="80"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A1">
      <selection activeCell="N21" sqref="N21:R21"/>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356" t="s">
        <v>0</v>
      </c>
      <c r="B1" s="372"/>
      <c r="C1" s="372"/>
      <c r="D1" s="372"/>
      <c r="E1" s="372"/>
      <c r="F1" s="372"/>
      <c r="G1" s="372"/>
      <c r="H1" s="372"/>
      <c r="I1" s="372"/>
      <c r="J1" s="372"/>
      <c r="K1" s="372"/>
      <c r="L1" s="372"/>
      <c r="M1" s="372"/>
      <c r="N1" s="372"/>
      <c r="O1" s="372"/>
      <c r="P1" s="2"/>
      <c r="Q1" s="2"/>
      <c r="R1" s="2"/>
      <c r="S1" s="2"/>
      <c r="T1" s="2"/>
      <c r="U1" s="2"/>
      <c r="V1" s="1"/>
      <c r="W1" s="1"/>
    </row>
    <row r="2" spans="1:23" ht="27.75" customHeight="1" thickBot="1">
      <c r="A2" s="357" t="s">
        <v>17</v>
      </c>
      <c r="B2" s="357"/>
      <c r="C2" s="359"/>
      <c r="D2" s="359"/>
      <c r="E2" s="359"/>
      <c r="F2" s="359"/>
      <c r="G2" s="49"/>
      <c r="H2" s="4" t="s">
        <v>27</v>
      </c>
      <c r="I2" s="25">
        <v>1</v>
      </c>
      <c r="J2" s="11"/>
      <c r="K2" s="11"/>
      <c r="L2" s="3" t="s">
        <v>25</v>
      </c>
      <c r="M2" s="3"/>
      <c r="N2" s="5"/>
      <c r="O2" s="373"/>
      <c r="P2" s="374"/>
      <c r="Q2" s="374"/>
      <c r="R2" s="374"/>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40" t="s">
        <v>1</v>
      </c>
      <c r="B4" s="341"/>
      <c r="C4" s="341"/>
      <c r="D4" s="341"/>
      <c r="E4" s="46" t="s">
        <v>31</v>
      </c>
      <c r="F4" s="44" t="s">
        <v>2</v>
      </c>
      <c r="G4" s="46" t="s">
        <v>30</v>
      </c>
      <c r="H4" s="46" t="s">
        <v>12</v>
      </c>
      <c r="I4" s="46" t="s">
        <v>11</v>
      </c>
      <c r="J4" s="45" t="s">
        <v>13</v>
      </c>
      <c r="K4" s="45" t="s">
        <v>3</v>
      </c>
      <c r="L4" s="47" t="s">
        <v>18</v>
      </c>
      <c r="M4" s="48"/>
      <c r="N4" s="375" t="s">
        <v>4</v>
      </c>
      <c r="O4" s="376"/>
      <c r="P4" s="376"/>
      <c r="Q4" s="376"/>
      <c r="R4" s="377"/>
      <c r="S4" s="2"/>
      <c r="T4" s="2"/>
      <c r="U4" s="2"/>
    </row>
    <row r="5" spans="1:21" ht="18.75" customHeight="1">
      <c r="A5" s="338"/>
      <c r="B5" s="339"/>
      <c r="C5" s="339"/>
      <c r="D5" s="339"/>
      <c r="E5" s="40"/>
      <c r="F5" s="41"/>
      <c r="G5" s="51">
        <f>I2*E5</f>
        <v>0</v>
      </c>
      <c r="H5" s="42">
        <v>0</v>
      </c>
      <c r="I5" s="41">
        <v>0</v>
      </c>
      <c r="J5" s="43">
        <v>0</v>
      </c>
      <c r="K5" s="52" t="e">
        <f>H5/(I5*J5)</f>
        <v>#DIV/0!</v>
      </c>
      <c r="L5" s="53" t="e">
        <f>ROUND(G5*K5,5)</f>
        <v>#DIV/0!</v>
      </c>
      <c r="M5" s="18">
        <v>1</v>
      </c>
      <c r="N5" s="380"/>
      <c r="O5" s="381"/>
      <c r="P5" s="381"/>
      <c r="Q5" s="381"/>
      <c r="R5" s="382"/>
      <c r="S5" s="12"/>
      <c r="T5" s="12"/>
      <c r="U5" s="12"/>
    </row>
    <row r="6" spans="1:21" ht="18.75" customHeight="1">
      <c r="A6" s="338"/>
      <c r="B6" s="339"/>
      <c r="C6" s="339"/>
      <c r="D6" s="339"/>
      <c r="E6" s="40"/>
      <c r="F6" s="41"/>
      <c r="G6" s="51">
        <f>I2*E6</f>
        <v>0</v>
      </c>
      <c r="H6" s="42">
        <v>0</v>
      </c>
      <c r="I6" s="41"/>
      <c r="J6" s="43"/>
      <c r="K6" s="52" t="e">
        <f aca="true" t="shared" si="0" ref="K6:K22">H6/(I6*J6)</f>
        <v>#DIV/0!</v>
      </c>
      <c r="L6" s="53" t="e">
        <f aca="true" t="shared" si="1" ref="L6:L22">ROUND(G6*K6,5)</f>
        <v>#DIV/0!</v>
      </c>
      <c r="M6" s="18">
        <v>2</v>
      </c>
      <c r="N6" s="380"/>
      <c r="O6" s="381"/>
      <c r="P6" s="381"/>
      <c r="Q6" s="381"/>
      <c r="R6" s="382"/>
      <c r="S6" s="12"/>
      <c r="T6" s="12"/>
      <c r="U6" s="12"/>
    </row>
    <row r="7" spans="1:21" ht="18.75" customHeight="1">
      <c r="A7" s="338"/>
      <c r="B7" s="339"/>
      <c r="C7" s="339"/>
      <c r="D7" s="339"/>
      <c r="E7" s="40"/>
      <c r="F7" s="41"/>
      <c r="G7" s="51">
        <f>I2*E7</f>
        <v>0</v>
      </c>
      <c r="H7" s="42">
        <v>0</v>
      </c>
      <c r="I7" s="41"/>
      <c r="J7" s="43"/>
      <c r="K7" s="52" t="e">
        <f t="shared" si="0"/>
        <v>#DIV/0!</v>
      </c>
      <c r="L7" s="53" t="e">
        <f t="shared" si="1"/>
        <v>#DIV/0!</v>
      </c>
      <c r="M7" s="18">
        <v>3</v>
      </c>
      <c r="N7" s="380"/>
      <c r="O7" s="381"/>
      <c r="P7" s="381"/>
      <c r="Q7" s="381"/>
      <c r="R7" s="382"/>
      <c r="S7" s="12"/>
      <c r="T7" s="12"/>
      <c r="U7" s="12"/>
    </row>
    <row r="8" spans="1:21" ht="18.75" customHeight="1">
      <c r="A8" s="338"/>
      <c r="B8" s="339"/>
      <c r="C8" s="339"/>
      <c r="D8" s="339"/>
      <c r="E8" s="40"/>
      <c r="F8" s="41"/>
      <c r="G8" s="51">
        <f>I2*E8</f>
        <v>0</v>
      </c>
      <c r="H8" s="42">
        <v>0</v>
      </c>
      <c r="I8" s="41"/>
      <c r="J8" s="43"/>
      <c r="K8" s="52" t="e">
        <f t="shared" si="0"/>
        <v>#DIV/0!</v>
      </c>
      <c r="L8" s="53" t="e">
        <f t="shared" si="1"/>
        <v>#DIV/0!</v>
      </c>
      <c r="M8" s="18"/>
      <c r="N8" s="380"/>
      <c r="O8" s="381"/>
      <c r="P8" s="381"/>
      <c r="Q8" s="381"/>
      <c r="R8" s="382"/>
      <c r="S8" s="12"/>
      <c r="T8" s="12"/>
      <c r="U8" s="12"/>
    </row>
    <row r="9" spans="1:21" ht="18.75" customHeight="1">
      <c r="A9" s="338"/>
      <c r="B9" s="339"/>
      <c r="C9" s="339"/>
      <c r="D9" s="339"/>
      <c r="E9" s="40"/>
      <c r="F9" s="41"/>
      <c r="G9" s="51">
        <f>I2*E9</f>
        <v>0</v>
      </c>
      <c r="H9" s="42">
        <v>0</v>
      </c>
      <c r="I9" s="41"/>
      <c r="J9" s="43"/>
      <c r="K9" s="52" t="e">
        <f t="shared" si="0"/>
        <v>#DIV/0!</v>
      </c>
      <c r="L9" s="53" t="e">
        <f t="shared" si="1"/>
        <v>#DIV/0!</v>
      </c>
      <c r="M9" s="18">
        <v>4</v>
      </c>
      <c r="N9" s="380"/>
      <c r="O9" s="381"/>
      <c r="P9" s="381"/>
      <c r="Q9" s="381"/>
      <c r="R9" s="382"/>
      <c r="S9" s="12"/>
      <c r="T9" s="12"/>
      <c r="U9" s="12"/>
    </row>
    <row r="10" spans="1:21" ht="18.75" customHeight="1">
      <c r="A10" s="338"/>
      <c r="B10" s="339"/>
      <c r="C10" s="339"/>
      <c r="D10" s="339"/>
      <c r="E10" s="40"/>
      <c r="F10" s="41"/>
      <c r="G10" s="51">
        <f>I2*E10</f>
        <v>0</v>
      </c>
      <c r="H10" s="42">
        <v>0</v>
      </c>
      <c r="I10" s="41"/>
      <c r="J10" s="43"/>
      <c r="K10" s="52" t="e">
        <f t="shared" si="0"/>
        <v>#DIV/0!</v>
      </c>
      <c r="L10" s="53" t="e">
        <f t="shared" si="1"/>
        <v>#DIV/0!</v>
      </c>
      <c r="M10" s="18"/>
      <c r="N10" s="380"/>
      <c r="O10" s="381"/>
      <c r="P10" s="381"/>
      <c r="Q10" s="381"/>
      <c r="R10" s="382"/>
      <c r="S10" s="12"/>
      <c r="T10" s="12"/>
      <c r="U10" s="12"/>
    </row>
    <row r="11" spans="1:21" ht="18.75" customHeight="1">
      <c r="A11" s="338"/>
      <c r="B11" s="339"/>
      <c r="C11" s="339"/>
      <c r="D11" s="339"/>
      <c r="E11" s="40"/>
      <c r="F11" s="41"/>
      <c r="G11" s="51">
        <f>I2*E11</f>
        <v>0</v>
      </c>
      <c r="H11" s="42">
        <v>0</v>
      </c>
      <c r="I11" s="41"/>
      <c r="J11" s="43"/>
      <c r="K11" s="52" t="e">
        <f t="shared" si="0"/>
        <v>#DIV/0!</v>
      </c>
      <c r="L11" s="53" t="e">
        <f t="shared" si="1"/>
        <v>#DIV/0!</v>
      </c>
      <c r="M11" s="18">
        <v>5</v>
      </c>
      <c r="N11" s="380"/>
      <c r="O11" s="381"/>
      <c r="P11" s="381"/>
      <c r="Q11" s="381"/>
      <c r="R11" s="382"/>
      <c r="S11" s="12"/>
      <c r="T11" s="12"/>
      <c r="U11" s="12"/>
    </row>
    <row r="12" spans="1:21" ht="18.75" customHeight="1">
      <c r="A12" s="338"/>
      <c r="B12" s="339"/>
      <c r="C12" s="339"/>
      <c r="D12" s="339"/>
      <c r="E12" s="40"/>
      <c r="F12" s="41"/>
      <c r="G12" s="51">
        <f>I2*E12</f>
        <v>0</v>
      </c>
      <c r="H12" s="42">
        <v>0</v>
      </c>
      <c r="I12" s="41"/>
      <c r="J12" s="43"/>
      <c r="K12" s="52" t="e">
        <f t="shared" si="0"/>
        <v>#DIV/0!</v>
      </c>
      <c r="L12" s="53" t="e">
        <f t="shared" si="1"/>
        <v>#DIV/0!</v>
      </c>
      <c r="M12" s="18"/>
      <c r="N12" s="380"/>
      <c r="O12" s="381"/>
      <c r="P12" s="381"/>
      <c r="Q12" s="381"/>
      <c r="R12" s="382"/>
      <c r="S12" s="12"/>
      <c r="T12" s="12"/>
      <c r="U12" s="12"/>
    </row>
    <row r="13" spans="1:21" ht="18.75" customHeight="1">
      <c r="A13" s="338"/>
      <c r="B13" s="339"/>
      <c r="C13" s="339"/>
      <c r="D13" s="339"/>
      <c r="E13" s="40"/>
      <c r="F13" s="41"/>
      <c r="G13" s="51">
        <f>I2*E13</f>
        <v>0</v>
      </c>
      <c r="H13" s="42">
        <v>0</v>
      </c>
      <c r="I13" s="41"/>
      <c r="J13" s="43"/>
      <c r="K13" s="52" t="e">
        <f t="shared" si="0"/>
        <v>#DIV/0!</v>
      </c>
      <c r="L13" s="53" t="e">
        <f t="shared" si="1"/>
        <v>#DIV/0!</v>
      </c>
      <c r="M13" s="18">
        <v>6</v>
      </c>
      <c r="N13" s="380"/>
      <c r="O13" s="381"/>
      <c r="P13" s="381"/>
      <c r="Q13" s="381"/>
      <c r="R13" s="382"/>
      <c r="S13" s="12"/>
      <c r="T13" s="12"/>
      <c r="U13" s="12"/>
    </row>
    <row r="14" spans="1:21" ht="18.75" customHeight="1">
      <c r="A14" s="338"/>
      <c r="B14" s="339"/>
      <c r="C14" s="339"/>
      <c r="D14" s="339"/>
      <c r="E14" s="40"/>
      <c r="F14" s="41"/>
      <c r="G14" s="51">
        <f>I2*E14</f>
        <v>0</v>
      </c>
      <c r="H14" s="42">
        <v>0</v>
      </c>
      <c r="I14" s="41"/>
      <c r="J14" s="43"/>
      <c r="K14" s="52" t="e">
        <f t="shared" si="0"/>
        <v>#DIV/0!</v>
      </c>
      <c r="L14" s="53" t="e">
        <f t="shared" si="1"/>
        <v>#DIV/0!</v>
      </c>
      <c r="M14" s="18"/>
      <c r="N14" s="380"/>
      <c r="O14" s="381"/>
      <c r="P14" s="381"/>
      <c r="Q14" s="381"/>
      <c r="R14" s="382"/>
      <c r="S14" s="12"/>
      <c r="T14" s="12"/>
      <c r="U14" s="12"/>
    </row>
    <row r="15" spans="1:21" ht="18.75" customHeight="1">
      <c r="A15" s="338"/>
      <c r="B15" s="339"/>
      <c r="C15" s="339"/>
      <c r="D15" s="339"/>
      <c r="E15" s="40"/>
      <c r="F15" s="41"/>
      <c r="G15" s="51">
        <f>I2*E15</f>
        <v>0</v>
      </c>
      <c r="H15" s="42">
        <v>0</v>
      </c>
      <c r="I15" s="41"/>
      <c r="J15" s="43"/>
      <c r="K15" s="52" t="e">
        <f t="shared" si="0"/>
        <v>#DIV/0!</v>
      </c>
      <c r="L15" s="53" t="e">
        <f t="shared" si="1"/>
        <v>#DIV/0!</v>
      </c>
      <c r="M15" s="18"/>
      <c r="N15" s="380"/>
      <c r="O15" s="381"/>
      <c r="P15" s="381"/>
      <c r="Q15" s="381"/>
      <c r="R15" s="382"/>
      <c r="S15" s="12"/>
      <c r="T15" s="12"/>
      <c r="U15" s="12"/>
    </row>
    <row r="16" spans="1:21" ht="18.75" customHeight="1">
      <c r="A16" s="338"/>
      <c r="B16" s="339"/>
      <c r="C16" s="339"/>
      <c r="D16" s="339"/>
      <c r="E16" s="40"/>
      <c r="F16" s="41"/>
      <c r="G16" s="51">
        <f>I2*E16</f>
        <v>0</v>
      </c>
      <c r="H16" s="42">
        <v>0</v>
      </c>
      <c r="I16" s="41"/>
      <c r="J16" s="43"/>
      <c r="K16" s="52" t="e">
        <f t="shared" si="0"/>
        <v>#DIV/0!</v>
      </c>
      <c r="L16" s="53" t="e">
        <f t="shared" si="1"/>
        <v>#DIV/0!</v>
      </c>
      <c r="M16" s="18"/>
      <c r="N16" s="380"/>
      <c r="O16" s="381"/>
      <c r="P16" s="381"/>
      <c r="Q16" s="381"/>
      <c r="R16" s="382"/>
      <c r="S16" s="12"/>
      <c r="T16" s="12"/>
      <c r="U16" s="12"/>
    </row>
    <row r="17" spans="1:21" ht="18.75" customHeight="1">
      <c r="A17" s="338"/>
      <c r="B17" s="339"/>
      <c r="C17" s="339"/>
      <c r="D17" s="339"/>
      <c r="E17" s="40"/>
      <c r="F17" s="41"/>
      <c r="G17" s="51">
        <f>I2*E17</f>
        <v>0</v>
      </c>
      <c r="H17" s="42">
        <v>0</v>
      </c>
      <c r="I17" s="41"/>
      <c r="J17" s="43"/>
      <c r="K17" s="52" t="e">
        <f t="shared" si="0"/>
        <v>#DIV/0!</v>
      </c>
      <c r="L17" s="53" t="e">
        <f t="shared" si="1"/>
        <v>#DIV/0!</v>
      </c>
      <c r="M17" s="18"/>
      <c r="N17" s="380"/>
      <c r="O17" s="381"/>
      <c r="P17" s="381"/>
      <c r="Q17" s="381"/>
      <c r="R17" s="382"/>
      <c r="S17" s="12"/>
      <c r="T17" s="12"/>
      <c r="U17" s="12"/>
    </row>
    <row r="18" spans="1:21" ht="18.75" customHeight="1">
      <c r="A18" s="338"/>
      <c r="B18" s="339"/>
      <c r="C18" s="339"/>
      <c r="D18" s="339"/>
      <c r="E18" s="40"/>
      <c r="F18" s="41"/>
      <c r="G18" s="51">
        <f>I2*E18</f>
        <v>0</v>
      </c>
      <c r="H18" s="42">
        <v>0</v>
      </c>
      <c r="I18" s="41"/>
      <c r="J18" s="43"/>
      <c r="K18" s="52" t="e">
        <f t="shared" si="0"/>
        <v>#DIV/0!</v>
      </c>
      <c r="L18" s="53" t="e">
        <f t="shared" si="1"/>
        <v>#DIV/0!</v>
      </c>
      <c r="M18" s="18"/>
      <c r="N18" s="380"/>
      <c r="O18" s="381"/>
      <c r="P18" s="381"/>
      <c r="Q18" s="381"/>
      <c r="R18" s="382"/>
      <c r="S18" s="12"/>
      <c r="T18" s="12"/>
      <c r="U18" s="12"/>
    </row>
    <row r="19" spans="1:21" ht="18.75" customHeight="1">
      <c r="A19" s="338"/>
      <c r="B19" s="339"/>
      <c r="C19" s="339"/>
      <c r="D19" s="339"/>
      <c r="E19" s="40"/>
      <c r="F19" s="41"/>
      <c r="G19" s="51">
        <f>I2*E19</f>
        <v>0</v>
      </c>
      <c r="H19" s="42">
        <v>0</v>
      </c>
      <c r="I19" s="41"/>
      <c r="J19" s="43"/>
      <c r="K19" s="52" t="e">
        <f t="shared" si="0"/>
        <v>#DIV/0!</v>
      </c>
      <c r="L19" s="53" t="e">
        <f t="shared" si="1"/>
        <v>#DIV/0!</v>
      </c>
      <c r="M19" s="18"/>
      <c r="N19" s="380"/>
      <c r="O19" s="381"/>
      <c r="P19" s="381"/>
      <c r="Q19" s="381"/>
      <c r="R19" s="382"/>
      <c r="S19" s="12"/>
      <c r="T19" s="12"/>
      <c r="U19" s="12"/>
    </row>
    <row r="20" spans="1:21" ht="18.75" customHeight="1">
      <c r="A20" s="338"/>
      <c r="B20" s="339"/>
      <c r="C20" s="339"/>
      <c r="D20" s="339"/>
      <c r="E20" s="40"/>
      <c r="F20" s="41"/>
      <c r="G20" s="51">
        <f>I2*E20</f>
        <v>0</v>
      </c>
      <c r="H20" s="42">
        <v>0</v>
      </c>
      <c r="I20" s="41"/>
      <c r="J20" s="43"/>
      <c r="K20" s="52" t="e">
        <f t="shared" si="0"/>
        <v>#DIV/0!</v>
      </c>
      <c r="L20" s="53" t="e">
        <f t="shared" si="1"/>
        <v>#DIV/0!</v>
      </c>
      <c r="M20" s="18"/>
      <c r="N20" s="380"/>
      <c r="O20" s="381"/>
      <c r="P20" s="381"/>
      <c r="Q20" s="381"/>
      <c r="R20" s="382"/>
      <c r="S20" s="12"/>
      <c r="T20" s="12"/>
      <c r="U20" s="12"/>
    </row>
    <row r="21" spans="1:21" ht="18.75" customHeight="1">
      <c r="A21" s="338"/>
      <c r="B21" s="339"/>
      <c r="C21" s="339"/>
      <c r="D21" s="339"/>
      <c r="E21" s="40"/>
      <c r="F21" s="41"/>
      <c r="G21" s="51">
        <f>I2*E21</f>
        <v>0</v>
      </c>
      <c r="H21" s="42">
        <v>0</v>
      </c>
      <c r="I21" s="41"/>
      <c r="J21" s="43"/>
      <c r="K21" s="52" t="e">
        <f t="shared" si="0"/>
        <v>#DIV/0!</v>
      </c>
      <c r="L21" s="53" t="e">
        <f t="shared" si="1"/>
        <v>#DIV/0!</v>
      </c>
      <c r="M21" s="18"/>
      <c r="N21" s="380"/>
      <c r="O21" s="381"/>
      <c r="P21" s="381"/>
      <c r="Q21" s="381"/>
      <c r="R21" s="382"/>
      <c r="S21" s="12"/>
      <c r="T21" s="12"/>
      <c r="U21" s="12"/>
    </row>
    <row r="22" spans="1:21" ht="18.75" customHeight="1" thickBot="1">
      <c r="A22" s="338"/>
      <c r="B22" s="339"/>
      <c r="C22" s="339"/>
      <c r="D22" s="339"/>
      <c r="E22" s="40"/>
      <c r="F22" s="41"/>
      <c r="G22" s="51">
        <f>I2*E22</f>
        <v>0</v>
      </c>
      <c r="H22" s="42">
        <v>0</v>
      </c>
      <c r="I22" s="41"/>
      <c r="J22" s="43"/>
      <c r="K22" s="52" t="e">
        <f t="shared" si="0"/>
        <v>#DIV/0!</v>
      </c>
      <c r="L22" s="53" t="e">
        <f t="shared" si="1"/>
        <v>#DIV/0!</v>
      </c>
      <c r="M22" s="18"/>
      <c r="N22" s="380"/>
      <c r="O22" s="381"/>
      <c r="P22" s="381"/>
      <c r="Q22" s="381"/>
      <c r="R22" s="382"/>
      <c r="S22" s="12"/>
      <c r="T22" s="12"/>
      <c r="U22" s="12"/>
    </row>
    <row r="23" spans="1:21" ht="20.25" customHeight="1" thickBot="1">
      <c r="A23" s="347" t="s">
        <v>29</v>
      </c>
      <c r="B23" s="348"/>
      <c r="C23" s="348"/>
      <c r="D23" s="349"/>
      <c r="E23" s="352" t="s">
        <v>7</v>
      </c>
      <c r="F23" s="353"/>
      <c r="G23" s="353"/>
      <c r="H23" s="353"/>
      <c r="I23" s="353"/>
      <c r="J23" s="353"/>
      <c r="K23" s="353"/>
      <c r="L23" s="54" t="e">
        <f>ROUNDUP(SUM(L5:L22),5)</f>
        <v>#DIV/0!</v>
      </c>
      <c r="M23" s="18"/>
      <c r="N23" s="380"/>
      <c r="O23" s="381"/>
      <c r="P23" s="381"/>
      <c r="Q23" s="381"/>
      <c r="R23" s="382"/>
      <c r="S23" s="12"/>
      <c r="T23" s="12"/>
      <c r="U23" s="12"/>
    </row>
    <row r="24" spans="1:21" ht="20.25" customHeight="1">
      <c r="A24" s="9" t="s">
        <v>14</v>
      </c>
      <c r="B24" s="9" t="s">
        <v>15</v>
      </c>
      <c r="C24" s="345" t="s">
        <v>16</v>
      </c>
      <c r="D24" s="346"/>
      <c r="E24" s="21"/>
      <c r="F24" s="22"/>
      <c r="G24" s="22"/>
      <c r="H24" s="18" t="s">
        <v>9</v>
      </c>
      <c r="I24" s="18"/>
      <c r="J24" s="18"/>
      <c r="K24" s="18"/>
      <c r="L24" s="55" t="e">
        <f>ROUND(L23*10/100,5)</f>
        <v>#DIV/0!</v>
      </c>
      <c r="M24" s="18"/>
      <c r="N24" s="380"/>
      <c r="O24" s="381"/>
      <c r="P24" s="381"/>
      <c r="Q24" s="381"/>
      <c r="R24" s="382"/>
      <c r="S24" s="12"/>
      <c r="T24" s="12"/>
      <c r="U24" s="12"/>
    </row>
    <row r="25" spans="1:21" ht="22.5" customHeight="1" thickBot="1">
      <c r="A25" s="10"/>
      <c r="B25" s="10"/>
      <c r="C25" s="360"/>
      <c r="D25" s="361"/>
      <c r="E25" s="23"/>
      <c r="F25" s="24"/>
      <c r="G25" s="24"/>
      <c r="H25" s="25" t="s">
        <v>6</v>
      </c>
      <c r="I25" s="25"/>
      <c r="J25" s="25"/>
      <c r="K25" s="25"/>
      <c r="L25" s="56" t="e">
        <f>L23+L24</f>
        <v>#DIV/0!</v>
      </c>
      <c r="M25" s="18"/>
      <c r="N25" s="366"/>
      <c r="O25" s="367"/>
      <c r="P25" s="367"/>
      <c r="Q25" s="367"/>
      <c r="R25" s="368"/>
      <c r="S25" s="12"/>
      <c r="T25" s="12"/>
      <c r="U25" s="12"/>
    </row>
    <row r="26" spans="5:21" ht="7.5" customHeight="1" thickBot="1">
      <c r="E26" s="356"/>
      <c r="F26" s="356"/>
      <c r="G26" s="2"/>
      <c r="H26" s="2"/>
      <c r="I26" s="2"/>
      <c r="J26" s="4"/>
      <c r="K26" s="4"/>
      <c r="L26" s="4"/>
      <c r="M26" s="14"/>
      <c r="N26" s="378" t="s">
        <v>26</v>
      </c>
      <c r="O26" s="378"/>
      <c r="P26" s="16"/>
      <c r="Q26" s="16"/>
      <c r="R26" s="17"/>
      <c r="S26" s="1"/>
      <c r="T26" s="1"/>
      <c r="U26" s="1"/>
    </row>
    <row r="27" spans="1:21" ht="20.25" customHeight="1">
      <c r="A27" s="342" t="s">
        <v>5</v>
      </c>
      <c r="B27" s="343"/>
      <c r="C27" s="343"/>
      <c r="D27" s="26"/>
      <c r="E27" s="343"/>
      <c r="F27" s="369"/>
      <c r="G27" s="16"/>
      <c r="H27" s="20"/>
      <c r="I27" s="16"/>
      <c r="J27" s="15"/>
      <c r="K27" s="15"/>
      <c r="L27" s="15"/>
      <c r="M27" s="37"/>
      <c r="N27" s="379"/>
      <c r="O27" s="379"/>
      <c r="P27" s="18"/>
      <c r="Q27" s="18"/>
      <c r="R27" s="19"/>
      <c r="S27" s="6"/>
      <c r="T27" s="6"/>
      <c r="U27" s="6"/>
    </row>
    <row r="28" spans="1:21" ht="37.5" customHeight="1">
      <c r="A28" s="27" t="s">
        <v>19</v>
      </c>
      <c r="B28" s="28" t="s">
        <v>20</v>
      </c>
      <c r="C28" s="29" t="s">
        <v>21</v>
      </c>
      <c r="D28" s="30" t="s">
        <v>22</v>
      </c>
      <c r="E28" s="354" t="s">
        <v>8</v>
      </c>
      <c r="F28" s="355"/>
      <c r="G28" s="36"/>
      <c r="H28" s="34"/>
      <c r="I28" s="33" t="s">
        <v>28</v>
      </c>
      <c r="J28" s="33" t="s">
        <v>23</v>
      </c>
      <c r="K28" s="344" t="s">
        <v>24</v>
      </c>
      <c r="L28" s="344"/>
      <c r="M28" s="38"/>
      <c r="N28" s="362"/>
      <c r="O28" s="363"/>
      <c r="P28" s="363"/>
      <c r="Q28" s="363"/>
      <c r="R28" s="364"/>
      <c r="S28" s="6"/>
      <c r="T28" s="6"/>
      <c r="U28" s="6"/>
    </row>
    <row r="29" spans="1:18" ht="19.5" customHeight="1" thickBot="1">
      <c r="A29" s="31">
        <v>1</v>
      </c>
      <c r="B29" s="32" t="s">
        <v>10</v>
      </c>
      <c r="C29" s="57" t="e">
        <f>L25</f>
        <v>#DIV/0!</v>
      </c>
      <c r="D29" s="58">
        <v>0</v>
      </c>
      <c r="E29" s="370" t="e">
        <f>C29+D29</f>
        <v>#DIV/0!</v>
      </c>
      <c r="F29" s="371"/>
      <c r="G29" s="50"/>
      <c r="H29" s="35"/>
      <c r="I29" s="59" t="e">
        <f>E29/J29</f>
        <v>#DIV/0!</v>
      </c>
      <c r="J29" s="60">
        <v>0.3</v>
      </c>
      <c r="K29" s="350">
        <f ca="1">NOW()</f>
        <v>41359.56477372685</v>
      </c>
      <c r="L29" s="351"/>
      <c r="M29" s="39"/>
      <c r="N29" s="365"/>
      <c r="O29" s="365"/>
      <c r="P29" s="365"/>
      <c r="Q29" s="365"/>
      <c r="R29" s="361"/>
    </row>
  </sheetData>
  <sheetProtection/>
  <mergeCells count="58">
    <mergeCell ref="N28:R29"/>
    <mergeCell ref="K29:L29"/>
    <mergeCell ref="A2:B2"/>
    <mergeCell ref="C2:F2"/>
    <mergeCell ref="A4:D4"/>
    <mergeCell ref="A8:D8"/>
    <mergeCell ref="A9:D9"/>
    <mergeCell ref="A10:D10"/>
    <mergeCell ref="N8:R8"/>
    <mergeCell ref="N9:R9"/>
    <mergeCell ref="A1:O1"/>
    <mergeCell ref="O2:R2"/>
    <mergeCell ref="N4:R4"/>
    <mergeCell ref="A5:D5"/>
    <mergeCell ref="A6:D6"/>
    <mergeCell ref="A7:D7"/>
    <mergeCell ref="N5:R5"/>
    <mergeCell ref="N6:R6"/>
    <mergeCell ref="N7:R7"/>
    <mergeCell ref="N10:R10"/>
    <mergeCell ref="A11:D11"/>
    <mergeCell ref="A12:D12"/>
    <mergeCell ref="A13:D13"/>
    <mergeCell ref="N11:R11"/>
    <mergeCell ref="N12:R12"/>
    <mergeCell ref="N13:R13"/>
    <mergeCell ref="A14:D14"/>
    <mergeCell ref="A15:D15"/>
    <mergeCell ref="A16:D16"/>
    <mergeCell ref="N14:R14"/>
    <mergeCell ref="N15:R15"/>
    <mergeCell ref="N16:R16"/>
    <mergeCell ref="N20:R20"/>
    <mergeCell ref="N21:R21"/>
    <mergeCell ref="N22:R22"/>
    <mergeCell ref="A17:D17"/>
    <mergeCell ref="A18:D18"/>
    <mergeCell ref="A19:D19"/>
    <mergeCell ref="N17:R17"/>
    <mergeCell ref="N18:R18"/>
    <mergeCell ref="N19:R19"/>
    <mergeCell ref="E28:F28"/>
    <mergeCell ref="E29:F29"/>
    <mergeCell ref="C25:D25"/>
    <mergeCell ref="E23:K23"/>
    <mergeCell ref="A20:D20"/>
    <mergeCell ref="A21:D21"/>
    <mergeCell ref="A22:D22"/>
    <mergeCell ref="K28:L28"/>
    <mergeCell ref="N23:R23"/>
    <mergeCell ref="N24:R24"/>
    <mergeCell ref="E26:F26"/>
    <mergeCell ref="A27:C27"/>
    <mergeCell ref="E27:F27"/>
    <mergeCell ref="N25:R25"/>
    <mergeCell ref="A23:D23"/>
    <mergeCell ref="C24:D24"/>
    <mergeCell ref="N26:O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A1" sqref="A1:B1"/>
    </sheetView>
  </sheetViews>
  <sheetFormatPr defaultColWidth="9.140625" defaultRowHeight="12.75"/>
  <cols>
    <col min="2" max="2" width="63.28125" style="0" customWidth="1"/>
    <col min="3" max="3" width="18.140625" style="0" customWidth="1"/>
  </cols>
  <sheetData>
    <row r="1" spans="1:2" ht="50.25" customHeight="1">
      <c r="A1" s="383" t="s">
        <v>140</v>
      </c>
      <c r="B1" s="384"/>
    </row>
    <row r="2" spans="1:3" ht="19.5" customHeight="1">
      <c r="A2" s="223"/>
      <c r="B2" s="241"/>
      <c r="C2" s="245"/>
    </row>
    <row r="3" spans="1:3" ht="19.5" customHeight="1">
      <c r="A3" s="223"/>
      <c r="B3" s="241" t="s">
        <v>141</v>
      </c>
      <c r="C3" s="224"/>
    </row>
    <row r="4" spans="1:3" ht="19.5" customHeight="1">
      <c r="A4" s="223"/>
      <c r="B4" s="244" t="s">
        <v>171</v>
      </c>
      <c r="C4" s="224"/>
    </row>
    <row r="5" spans="1:3" ht="19.5" customHeight="1">
      <c r="A5" s="223"/>
      <c r="B5" s="244" t="s">
        <v>185</v>
      </c>
      <c r="C5" s="224"/>
    </row>
    <row r="6" spans="1:3" ht="19.5" customHeight="1">
      <c r="A6" s="223"/>
      <c r="B6" s="243" t="s">
        <v>142</v>
      </c>
      <c r="C6" s="224"/>
    </row>
    <row r="7" spans="1:3" ht="19.5" customHeight="1">
      <c r="A7" s="223"/>
      <c r="B7" s="243" t="s">
        <v>143</v>
      </c>
      <c r="C7" s="224"/>
    </row>
    <row r="8" spans="1:3" ht="19.5" customHeight="1">
      <c r="A8" s="223"/>
      <c r="B8" s="244" t="s">
        <v>272</v>
      </c>
      <c r="C8" s="224"/>
    </row>
    <row r="9" spans="1:3" ht="19.5" customHeight="1">
      <c r="A9" s="223"/>
      <c r="B9" s="243" t="s">
        <v>144</v>
      </c>
      <c r="C9" s="224"/>
    </row>
    <row r="10" spans="1:3" ht="19.5" customHeight="1">
      <c r="A10" s="223"/>
      <c r="B10" s="243" t="s">
        <v>145</v>
      </c>
      <c r="C10" s="224"/>
    </row>
    <row r="11" spans="1:3" ht="19.5" customHeight="1">
      <c r="A11" s="223"/>
      <c r="B11" s="243" t="s">
        <v>146</v>
      </c>
      <c r="C11" s="224"/>
    </row>
    <row r="12" spans="1:3" ht="19.5" customHeight="1">
      <c r="A12" s="223"/>
      <c r="B12" s="244" t="s">
        <v>517</v>
      </c>
      <c r="C12" s="224"/>
    </row>
    <row r="13" spans="1:3" ht="19.5" customHeight="1">
      <c r="A13" s="223"/>
      <c r="B13" s="243" t="s">
        <v>147</v>
      </c>
      <c r="C13" s="224"/>
    </row>
    <row r="14" spans="1:3" ht="19.5" customHeight="1">
      <c r="A14" s="223"/>
      <c r="B14" s="243" t="s">
        <v>151</v>
      </c>
      <c r="C14" s="224"/>
    </row>
    <row r="15" spans="1:3" ht="19.5" customHeight="1">
      <c r="A15" s="223"/>
      <c r="B15" s="241" t="s">
        <v>218</v>
      </c>
      <c r="C15" s="224"/>
    </row>
    <row r="16" spans="1:3" ht="19.5" customHeight="1">
      <c r="A16" s="223"/>
      <c r="B16" s="243" t="s">
        <v>148</v>
      </c>
      <c r="C16" s="224"/>
    </row>
    <row r="17" spans="1:3" ht="19.5" customHeight="1">
      <c r="A17" s="223"/>
      <c r="B17" s="243" t="s">
        <v>149</v>
      </c>
      <c r="C17" s="224"/>
    </row>
    <row r="18" spans="1:3" ht="19.5" customHeight="1">
      <c r="A18" s="223"/>
      <c r="B18" s="243" t="s">
        <v>150</v>
      </c>
      <c r="C18" s="224"/>
    </row>
    <row r="19" spans="1:3" ht="19.5" customHeight="1">
      <c r="A19" s="223"/>
      <c r="B19" s="244"/>
      <c r="C19" s="224"/>
    </row>
    <row r="20" spans="1:3" ht="19.5" customHeight="1">
      <c r="A20" s="223"/>
      <c r="B20" s="243"/>
      <c r="C20" s="224"/>
    </row>
    <row r="21" spans="1:3" ht="19.5" customHeight="1">
      <c r="A21" s="223"/>
      <c r="B21" s="244"/>
      <c r="C21" s="224"/>
    </row>
    <row r="22" spans="1:3" ht="19.5" customHeight="1">
      <c r="A22" s="223"/>
      <c r="B22" s="243"/>
      <c r="C22" s="224"/>
    </row>
    <row r="23" spans="1:3" ht="19.5" customHeight="1">
      <c r="A23" s="223"/>
      <c r="B23" s="243"/>
      <c r="C23" s="224"/>
    </row>
    <row r="24" spans="1:3" ht="19.5" customHeight="1">
      <c r="A24" s="223"/>
      <c r="B24" s="244"/>
      <c r="C24" s="224"/>
    </row>
    <row r="25" spans="1:3" ht="19.5" customHeight="1">
      <c r="A25" s="223"/>
      <c r="B25" s="244"/>
      <c r="C25" s="224"/>
    </row>
    <row r="26" spans="1:3" ht="19.5" customHeight="1">
      <c r="A26" s="223"/>
      <c r="B26" s="243"/>
      <c r="C26" s="224"/>
    </row>
    <row r="27" spans="1:3" ht="19.5" customHeight="1">
      <c r="A27" s="223"/>
      <c r="B27" s="243"/>
      <c r="C27" s="224"/>
    </row>
    <row r="28" spans="1:3" ht="19.5" customHeight="1">
      <c r="A28" s="223"/>
      <c r="B28" s="243"/>
      <c r="C28" s="224"/>
    </row>
    <row r="29" spans="1:3" ht="19.5" customHeight="1">
      <c r="A29" s="223"/>
      <c r="B29" s="243"/>
      <c r="C29" s="224"/>
    </row>
    <row r="30" spans="1:3" ht="19.5" customHeight="1">
      <c r="A30" s="223"/>
      <c r="B30" s="241"/>
      <c r="C30" s="245"/>
    </row>
    <row r="31" spans="1:3" ht="19.5" customHeight="1">
      <c r="A31" s="223"/>
      <c r="B31" s="241"/>
      <c r="C31" s="245"/>
    </row>
    <row r="32" spans="1:3" ht="19.5" customHeight="1">
      <c r="A32" s="223"/>
      <c r="B32" s="241"/>
      <c r="C32" s="245"/>
    </row>
    <row r="33" spans="1:3" ht="19.5" customHeight="1">
      <c r="A33" s="223"/>
      <c r="B33" s="241"/>
      <c r="C33" s="225"/>
    </row>
    <row r="34" spans="1:2" ht="19.5" customHeight="1">
      <c r="A34" s="223"/>
      <c r="B34" s="241"/>
    </row>
    <row r="35" spans="1:2" ht="19.5" customHeight="1">
      <c r="A35" s="223"/>
      <c r="B35" s="226"/>
    </row>
    <row r="36" spans="1:2" ht="19.5" customHeight="1">
      <c r="A36" s="223"/>
      <c r="B36" s="226"/>
    </row>
    <row r="37" spans="1:2" ht="19.5" customHeight="1">
      <c r="A37" s="223"/>
      <c r="B37" s="226"/>
    </row>
    <row r="38" spans="1:2" ht="19.5" customHeight="1">
      <c r="A38" s="223"/>
      <c r="B38" s="226"/>
    </row>
    <row r="39" spans="1:2" ht="19.5" customHeight="1">
      <c r="A39" s="2"/>
      <c r="B39" s="226"/>
    </row>
    <row r="40" spans="1:2" ht="19.5" customHeight="1">
      <c r="A40" s="2"/>
      <c r="B40" s="226"/>
    </row>
    <row r="41" spans="1:2" ht="19.5" customHeight="1">
      <c r="A41" s="2"/>
      <c r="B41" s="226"/>
    </row>
    <row r="42" spans="1:2" ht="19.5" customHeight="1">
      <c r="A42" s="2"/>
      <c r="B42" s="226"/>
    </row>
    <row r="43" spans="1:2" ht="19.5" customHeight="1">
      <c r="A43" s="2"/>
      <c r="B43" s="226"/>
    </row>
    <row r="44" spans="1:2" ht="19.5" customHeight="1">
      <c r="A44" s="2"/>
      <c r="B44" s="226"/>
    </row>
    <row r="45" spans="1:2" ht="19.5" customHeight="1">
      <c r="A45" s="2"/>
      <c r="B45" s="226"/>
    </row>
    <row r="46" spans="1:2" ht="19.5" customHeight="1">
      <c r="A46" s="2"/>
      <c r="B46" s="226"/>
    </row>
    <row r="47" spans="1:2" ht="19.5" customHeight="1">
      <c r="A47" s="2"/>
      <c r="B47" s="226"/>
    </row>
    <row r="48" spans="1:2" ht="19.5" customHeight="1">
      <c r="A48" s="2"/>
      <c r="B48" s="226"/>
    </row>
    <row r="49" spans="1:2" ht="19.5" customHeight="1">
      <c r="A49" s="2"/>
      <c r="B49" s="226"/>
    </row>
    <row r="50" spans="1:2" ht="19.5" customHeight="1">
      <c r="A50" s="2"/>
      <c r="B50" s="226"/>
    </row>
    <row r="51" spans="1:2" ht="19.5" customHeight="1">
      <c r="A51" s="2"/>
      <c r="B51" s="226"/>
    </row>
    <row r="52" spans="1:2" ht="19.5" customHeight="1">
      <c r="A52" s="2"/>
      <c r="B52" s="226"/>
    </row>
    <row r="53" spans="1:2" ht="19.5" customHeight="1">
      <c r="A53" s="2"/>
      <c r="B53" s="226"/>
    </row>
    <row r="54" spans="1:2" ht="19.5" customHeight="1">
      <c r="A54" s="2"/>
      <c r="B54" s="226"/>
    </row>
    <row r="55" spans="1:2" ht="19.5" customHeight="1">
      <c r="A55" s="2"/>
      <c r="B55" s="226"/>
    </row>
    <row r="56" spans="1:2" ht="19.5" customHeight="1">
      <c r="A56" s="2"/>
      <c r="B56" s="226"/>
    </row>
    <row r="57" spans="1:2" ht="19.5" customHeight="1">
      <c r="A57" s="2"/>
      <c r="B57" s="226"/>
    </row>
    <row r="58" spans="1:2" ht="19.5" customHeight="1">
      <c r="A58" s="2"/>
      <c r="B58" s="226"/>
    </row>
    <row r="59" spans="1:2" ht="19.5" customHeight="1">
      <c r="A59" s="2"/>
      <c r="B59" s="226"/>
    </row>
    <row r="60" spans="1:2" ht="19.5" customHeight="1">
      <c r="A60" s="2"/>
      <c r="B60" s="226"/>
    </row>
    <row r="61" spans="1:2" ht="19.5" customHeight="1">
      <c r="A61" s="2"/>
      <c r="B61" s="226"/>
    </row>
    <row r="62" spans="1:2" ht="19.5" customHeight="1">
      <c r="A62" s="227"/>
      <c r="B62" s="228"/>
    </row>
    <row r="63" ht="19.5" customHeight="1">
      <c r="B63" s="229"/>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mergeCells count="1">
    <mergeCell ref="A1:B1"/>
  </mergeCells>
  <hyperlinks>
    <hyperlink ref="B18" location="'Grilled Vegetable Platter'!A1" display="Grilled Vegetable Platter"/>
    <hyperlink ref="B14" location="'Seafood Seviche in Cucumber cup'!A1" display="Seafood Seviche in Cucumber Cup"/>
    <hyperlink ref="B3" location="'Beef Carpaccio Crostini'!A1" display="Beef Carpaccio Crostini"/>
    <hyperlink ref="B6" location="'Shaved Roasted Chicken Crostini'!A1" display="Shaved Roasted Chicken Crostini"/>
    <hyperlink ref="B7" location="'Mini Muffaletta Slider'!A1" display="Mini Muffaletta Slider"/>
    <hyperlink ref="B9" location="'Mini Bison Burger Slider'!A1" display="Mini Bison Burger Slider"/>
    <hyperlink ref="B13" location="'Mini Portobello Mushroom Slider'!A1" display="Mini Portobello Mushroom Slider"/>
    <hyperlink ref="B11" location="'Country Ham &amp; Biscuit Slider'!A1" display="Country Ham &amp; Biscuit Slider"/>
    <hyperlink ref="B15" location="'Cajun Chicken Canapes'!A1" display="Cajun Chicken Canapés"/>
    <hyperlink ref="B17" location="'Capreses Skewers'!A1" display="Caprese Skewers"/>
    <hyperlink ref="B10" location="'Mini Crab Cake Slider'!A1" display="Mini Crab Cake Slider"/>
    <hyperlink ref="B16" location="'Bleu Cheese Stuffed Figs'!A1" display="Bleu Cheese Sutffed Figs"/>
    <hyperlink ref="B4" location="'Roasted Beef Tenderloin'!A1" display="Roasted Beef Tenderloin"/>
    <hyperlink ref="B5" location="'Carmalized Red Onions'!A1" display="Carmalized Onions"/>
    <hyperlink ref="B8" location="'Olive Salad'!A1" display="Olive Salad"/>
    <hyperlink ref="B12" location="'Buttermilk Biscuit'!A1" display="Buttermilk Biscuit"/>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J31"/>
  <sheetViews>
    <sheetView zoomScalePageLayoutView="0" workbookViewId="0" topLeftCell="A1">
      <selection activeCell="I21" sqref="I21:N21"/>
    </sheetView>
  </sheetViews>
  <sheetFormatPr defaultColWidth="9.140625" defaultRowHeight="12.75"/>
  <cols>
    <col min="1" max="1" width="8.421875" style="0" customWidth="1"/>
    <col min="2" max="2" width="9.8515625" style="0" customWidth="1"/>
    <col min="5" max="5" width="9.8515625" style="0" customWidth="1"/>
    <col min="7" max="7" width="11.00390625" style="0" customWidth="1"/>
    <col min="8" max="8" width="4.8515625" style="0" customWidth="1"/>
    <col min="9" max="9" width="8.57421875" style="0" customWidth="1"/>
    <col min="10" max="10" width="9.8515625" style="0" customWidth="1"/>
    <col min="11" max="11" width="8.57421875" style="0" customWidth="1"/>
    <col min="12" max="13" width="13.7109375" style="0" customWidth="1"/>
    <col min="14" max="14" width="16.57421875" style="0" customWidth="1"/>
    <col min="15" max="15" width="4.28125" style="0" customWidth="1"/>
    <col min="18" max="18" width="10.421875" style="0" customWidth="1"/>
    <col min="19" max="19" width="9.140625" style="0" customWidth="1"/>
    <col min="20" max="20" width="9.421875" style="0" customWidth="1"/>
    <col min="21" max="21" width="7.57421875" style="0" customWidth="1"/>
    <col min="22" max="22" width="10.421875" style="0" customWidth="1"/>
    <col min="23" max="23" width="9.00390625" style="0" customWidth="1"/>
    <col min="24" max="24" width="9.57421875" style="0" customWidth="1"/>
    <col min="25" max="25" width="10.28125" style="0" customWidth="1"/>
    <col min="26" max="26" width="10.421875" style="0" customWidth="1"/>
    <col min="27" max="27" width="4.140625" style="0" customWidth="1"/>
    <col min="28" max="28" width="10.57421875" style="0" customWidth="1"/>
    <col min="29" max="29" width="8.28125" style="0" customWidth="1"/>
    <col min="30" max="30" width="7.421875" style="0" customWidth="1"/>
    <col min="31" max="31" width="9.8515625" style="0" customWidth="1"/>
    <col min="32" max="34" width="9.00390625" style="0" customWidth="1"/>
  </cols>
  <sheetData>
    <row r="1" spans="1:29" ht="59.25" customHeight="1">
      <c r="A1" s="463" t="s">
        <v>71</v>
      </c>
      <c r="B1" s="463"/>
      <c r="C1" s="463"/>
      <c r="D1" s="463"/>
      <c r="E1" s="463"/>
      <c r="F1" s="463"/>
      <c r="G1" s="463"/>
      <c r="H1" s="463"/>
      <c r="I1" s="463"/>
      <c r="J1" s="463"/>
      <c r="K1" s="463"/>
      <c r="L1" s="463"/>
      <c r="M1" s="463"/>
      <c r="N1" s="463"/>
      <c r="O1" s="207"/>
      <c r="P1" s="147"/>
      <c r="Q1" s="464" t="s">
        <v>72</v>
      </c>
      <c r="R1" s="465"/>
      <c r="S1" s="465"/>
      <c r="T1" s="465"/>
      <c r="U1" s="465"/>
      <c r="V1" s="465"/>
      <c r="W1" s="465"/>
      <c r="X1" s="465"/>
      <c r="Y1" s="465"/>
      <c r="Z1" s="465"/>
      <c r="AA1" s="465"/>
      <c r="AB1" s="465"/>
      <c r="AC1" s="465"/>
    </row>
    <row r="2" spans="1:29" ht="25.5" customHeight="1">
      <c r="A2" s="463"/>
      <c r="B2" s="463"/>
      <c r="C2" s="463"/>
      <c r="D2" s="463"/>
      <c r="E2" s="463"/>
      <c r="F2" s="463"/>
      <c r="G2" s="463"/>
      <c r="H2" s="463"/>
      <c r="I2" s="463"/>
      <c r="J2" s="463"/>
      <c r="K2" s="207"/>
      <c r="L2" s="207"/>
      <c r="M2" s="207"/>
      <c r="N2" s="207"/>
      <c r="O2" s="207"/>
      <c r="P2" s="147"/>
      <c r="Q2" s="148"/>
      <c r="R2" s="149"/>
      <c r="S2" s="149"/>
      <c r="T2" s="149"/>
      <c r="U2" s="149"/>
      <c r="V2" s="149"/>
      <c r="W2" s="149"/>
      <c r="X2" s="149"/>
      <c r="Y2" s="149"/>
      <c r="Z2" s="149"/>
      <c r="AA2" s="149"/>
      <c r="AB2" s="149"/>
      <c r="AC2" s="149"/>
    </row>
    <row r="3" spans="2:36" ht="19.5" customHeight="1" thickBot="1">
      <c r="B3" s="466" t="s">
        <v>43</v>
      </c>
      <c r="C3" s="466"/>
      <c r="D3" s="466"/>
      <c r="E3" s="466"/>
      <c r="F3" s="466"/>
      <c r="G3" s="466"/>
      <c r="H3" s="466"/>
      <c r="I3" s="466"/>
      <c r="J3" s="466"/>
      <c r="K3" s="466"/>
      <c r="L3" s="466"/>
      <c r="M3" s="66"/>
      <c r="N3" s="66"/>
      <c r="O3" s="150"/>
      <c r="P3" s="467" t="s">
        <v>56</v>
      </c>
      <c r="Q3" s="468"/>
      <c r="R3" s="468"/>
      <c r="S3" s="468"/>
      <c r="T3" s="468"/>
      <c r="U3" s="468"/>
      <c r="V3" s="468"/>
      <c r="W3" s="468"/>
      <c r="X3" s="468"/>
      <c r="Y3" s="468"/>
      <c r="Z3" s="468"/>
      <c r="AA3" s="468"/>
      <c r="AB3" s="468"/>
      <c r="AC3" s="468"/>
      <c r="AD3" s="468"/>
      <c r="AE3" s="468"/>
      <c r="AF3" s="2"/>
      <c r="AG3" s="2"/>
      <c r="AH3" s="2"/>
      <c r="AI3" s="1"/>
      <c r="AJ3" s="1"/>
    </row>
    <row r="4" spans="1:36" ht="41.25" customHeight="1" thickBot="1">
      <c r="A4" s="200"/>
      <c r="B4" s="450" t="s">
        <v>44</v>
      </c>
      <c r="C4" s="450"/>
      <c r="D4" s="469" t="s">
        <v>73</v>
      </c>
      <c r="E4" s="469"/>
      <c r="F4" s="469"/>
      <c r="G4" s="469"/>
      <c r="H4" s="469"/>
      <c r="I4" s="205" t="s">
        <v>55</v>
      </c>
      <c r="J4" s="151">
        <v>100</v>
      </c>
      <c r="K4" s="205" t="s">
        <v>48</v>
      </c>
      <c r="L4" s="152" t="s">
        <v>74</v>
      </c>
      <c r="M4" s="152"/>
      <c r="N4" s="153"/>
      <c r="O4" s="86"/>
      <c r="P4" s="470" t="s">
        <v>17</v>
      </c>
      <c r="Q4" s="470"/>
      <c r="R4" s="471" t="str">
        <f>D4</f>
        <v>Caprese Tower</v>
      </c>
      <c r="S4" s="471"/>
      <c r="T4" s="471"/>
      <c r="U4" s="471"/>
      <c r="V4" s="472"/>
      <c r="W4" s="49"/>
      <c r="X4" s="49"/>
      <c r="Y4" s="205" t="s">
        <v>55</v>
      </c>
      <c r="Z4" s="78">
        <f>J4</f>
        <v>100</v>
      </c>
      <c r="AA4" s="18"/>
      <c r="AB4" s="80" t="s">
        <v>53</v>
      </c>
      <c r="AC4" s="81" t="str">
        <f>L4</f>
        <v>1 Ea. </v>
      </c>
      <c r="AD4" s="154"/>
      <c r="AE4" s="3"/>
      <c r="AF4" s="13"/>
      <c r="AG4" s="13"/>
      <c r="AH4" s="13"/>
      <c r="AI4" s="3"/>
      <c r="AJ4" s="3"/>
    </row>
    <row r="5" spans="1:36" ht="14.25" customHeight="1">
      <c r="A5" s="200"/>
      <c r="B5" s="207"/>
      <c r="C5" s="450"/>
      <c r="D5" s="451"/>
      <c r="E5" s="451"/>
      <c r="F5" s="451"/>
      <c r="G5" s="451"/>
      <c r="H5" s="451"/>
      <c r="I5" s="145"/>
      <c r="J5" s="2"/>
      <c r="K5" s="4"/>
      <c r="L5" s="155"/>
      <c r="M5" s="156"/>
      <c r="N5" s="157"/>
      <c r="O5" s="157"/>
      <c r="P5" s="4"/>
      <c r="Q5" s="4"/>
      <c r="R5" s="452">
        <f>D5</f>
        <v>0</v>
      </c>
      <c r="S5" s="453"/>
      <c r="T5" s="453"/>
      <c r="U5" s="453"/>
      <c r="V5" s="453"/>
      <c r="W5" s="453"/>
      <c r="X5" s="453"/>
      <c r="Y5" s="4"/>
      <c r="Z5" s="18">
        <f>J5</f>
        <v>0</v>
      </c>
      <c r="AA5" s="18"/>
      <c r="AB5" s="146"/>
      <c r="AC5" s="155"/>
      <c r="AD5" s="154"/>
      <c r="AE5" s="3"/>
      <c r="AF5" s="13"/>
      <c r="AG5" s="13"/>
      <c r="AH5" s="13"/>
      <c r="AI5" s="3"/>
      <c r="AJ5" s="3"/>
    </row>
    <row r="6" spans="1:36" ht="8.25" customHeight="1" thickBot="1">
      <c r="A6" s="200"/>
      <c r="C6" s="365"/>
      <c r="D6" s="365"/>
      <c r="E6" s="365"/>
      <c r="F6" s="365"/>
      <c r="G6" s="365"/>
      <c r="H6" s="365"/>
      <c r="I6" s="158"/>
      <c r="J6" s="158"/>
      <c r="P6" s="7"/>
      <c r="Q6" s="7"/>
      <c r="R6" s="454"/>
      <c r="S6" s="454"/>
      <c r="T6" s="454"/>
      <c r="U6" s="454"/>
      <c r="V6" s="454"/>
      <c r="W6" s="454"/>
      <c r="X6" s="454"/>
      <c r="Y6" s="2"/>
      <c r="Z6" s="3"/>
      <c r="AA6" s="3"/>
      <c r="AB6" s="3"/>
      <c r="AC6" s="3"/>
      <c r="AD6" s="3"/>
      <c r="AE6" s="3"/>
      <c r="AF6" s="5"/>
      <c r="AG6" s="5"/>
      <c r="AH6" s="5"/>
      <c r="AI6" s="3"/>
      <c r="AJ6" s="3"/>
    </row>
    <row r="7" spans="1:34" ht="50.25" customHeight="1" thickBot="1">
      <c r="A7" s="201"/>
      <c r="B7" s="455" t="s">
        <v>1</v>
      </c>
      <c r="C7" s="456"/>
      <c r="D7" s="456"/>
      <c r="E7" s="457"/>
      <c r="F7" s="458" t="s">
        <v>54</v>
      </c>
      <c r="G7" s="459"/>
      <c r="H7" s="458" t="s">
        <v>32</v>
      </c>
      <c r="I7" s="460"/>
      <c r="J7" s="460"/>
      <c r="K7" s="460"/>
      <c r="L7" s="460"/>
      <c r="M7" s="460"/>
      <c r="N7" s="459"/>
      <c r="O7" s="203"/>
      <c r="P7" s="461" t="s">
        <v>1</v>
      </c>
      <c r="Q7" s="462"/>
      <c r="R7" s="462"/>
      <c r="S7" s="462"/>
      <c r="T7" s="206" t="s">
        <v>31</v>
      </c>
      <c r="U7" s="204" t="s">
        <v>2</v>
      </c>
      <c r="V7" s="206" t="s">
        <v>51</v>
      </c>
      <c r="W7" s="206" t="s">
        <v>30</v>
      </c>
      <c r="X7" s="206" t="s">
        <v>49</v>
      </c>
      <c r="Y7" s="206" t="s">
        <v>57</v>
      </c>
      <c r="Z7" s="442" t="s">
        <v>75</v>
      </c>
      <c r="AA7" s="442"/>
      <c r="AB7" s="206" t="s">
        <v>50</v>
      </c>
      <c r="AC7" s="206" t="s">
        <v>13</v>
      </c>
      <c r="AD7" s="206" t="s">
        <v>61</v>
      </c>
      <c r="AE7" s="133" t="s">
        <v>62</v>
      </c>
      <c r="AF7" s="2"/>
      <c r="AG7" s="2"/>
      <c r="AH7" s="2"/>
    </row>
    <row r="8" spans="1:34" ht="18.75" customHeight="1">
      <c r="A8" s="200"/>
      <c r="B8" s="443" t="s">
        <v>76</v>
      </c>
      <c r="C8" s="444"/>
      <c r="D8" s="444"/>
      <c r="E8" s="445"/>
      <c r="F8" s="446" t="s">
        <v>77</v>
      </c>
      <c r="G8" s="447"/>
      <c r="H8" s="91"/>
      <c r="I8" s="448" t="s">
        <v>78</v>
      </c>
      <c r="J8" s="448"/>
      <c r="K8" s="448"/>
      <c r="L8" s="448"/>
      <c r="M8" s="448"/>
      <c r="N8" s="449"/>
      <c r="O8" s="159"/>
      <c r="P8" s="429" t="str">
        <f aca="true" t="shared" si="0" ref="P8:P16">B8</f>
        <v>Fresh Mozzarella, Sliced 1 oz. ea.(2 ea.)</v>
      </c>
      <c r="Q8" s="430"/>
      <c r="R8" s="430"/>
      <c r="S8" s="430"/>
      <c r="T8" s="160">
        <v>2</v>
      </c>
      <c r="U8" s="161" t="s">
        <v>79</v>
      </c>
      <c r="V8" s="162">
        <f>T8*Z4</f>
        <v>200</v>
      </c>
      <c r="W8" s="163">
        <f>(Z4*T8)/AC8</f>
        <v>200</v>
      </c>
      <c r="X8" s="164" t="s">
        <v>80</v>
      </c>
      <c r="Y8" s="165">
        <v>3.82</v>
      </c>
      <c r="Z8" s="166">
        <f>W8/16</f>
        <v>12.5</v>
      </c>
      <c r="AA8" s="166" t="s">
        <v>80</v>
      </c>
      <c r="AB8" s="167">
        <f>Y8*Z8</f>
        <v>47.75</v>
      </c>
      <c r="AC8" s="168">
        <v>1</v>
      </c>
      <c r="AD8" s="169">
        <f>AB8/Z4</f>
        <v>0.4775</v>
      </c>
      <c r="AE8" s="170">
        <f>Z4*AD8</f>
        <v>47.75</v>
      </c>
      <c r="AF8" s="12"/>
      <c r="AG8" s="12"/>
      <c r="AH8" s="12"/>
    </row>
    <row r="9" spans="1:34" ht="18.75" customHeight="1">
      <c r="A9" s="200"/>
      <c r="B9" s="431" t="s">
        <v>81</v>
      </c>
      <c r="C9" s="432"/>
      <c r="D9" s="432"/>
      <c r="E9" s="433"/>
      <c r="F9" s="436" t="s">
        <v>82</v>
      </c>
      <c r="G9" s="435"/>
      <c r="H9" s="91">
        <v>1</v>
      </c>
      <c r="I9" s="432" t="s">
        <v>83</v>
      </c>
      <c r="J9" s="432"/>
      <c r="K9" s="432"/>
      <c r="L9" s="432"/>
      <c r="M9" s="432"/>
      <c r="N9" s="435"/>
      <c r="O9" s="171"/>
      <c r="P9" s="429" t="str">
        <f t="shared" si="0"/>
        <v>Tomato Roma, Sliced 1/4 in.(3 ea.)</v>
      </c>
      <c r="Q9" s="430"/>
      <c r="R9" s="430"/>
      <c r="S9" s="430"/>
      <c r="T9" s="79">
        <v>1</v>
      </c>
      <c r="U9" s="161" t="s">
        <v>79</v>
      </c>
      <c r="V9" s="166">
        <f>Z4*T9</f>
        <v>100</v>
      </c>
      <c r="W9" s="172">
        <f>(Z4*T9)/AC9</f>
        <v>109.89010989010988</v>
      </c>
      <c r="X9" s="164" t="s">
        <v>80</v>
      </c>
      <c r="Y9" s="165">
        <v>0.75</v>
      </c>
      <c r="Z9" s="166">
        <f>W9/16</f>
        <v>6.868131868131868</v>
      </c>
      <c r="AA9" s="166" t="s">
        <v>80</v>
      </c>
      <c r="AB9" s="167">
        <f aca="true" t="shared" si="1" ref="AB9:AB16">Y9*Z9</f>
        <v>5.151098901098901</v>
      </c>
      <c r="AC9" s="173">
        <v>0.91</v>
      </c>
      <c r="AD9" s="169">
        <f>AB9/Z4</f>
        <v>0.05151098901098901</v>
      </c>
      <c r="AE9" s="170">
        <f>Z4*AD9</f>
        <v>5.151098901098901</v>
      </c>
      <c r="AF9" s="12"/>
      <c r="AG9" s="12"/>
      <c r="AH9" s="12"/>
    </row>
    <row r="10" spans="1:34" ht="18.75" customHeight="1">
      <c r="A10" s="200"/>
      <c r="B10" s="431" t="s">
        <v>84</v>
      </c>
      <c r="C10" s="432"/>
      <c r="D10" s="432"/>
      <c r="E10" s="433"/>
      <c r="F10" s="436" t="s">
        <v>58</v>
      </c>
      <c r="G10" s="435"/>
      <c r="H10" s="91"/>
      <c r="I10" s="432"/>
      <c r="J10" s="432"/>
      <c r="K10" s="432"/>
      <c r="L10" s="432"/>
      <c r="M10" s="432"/>
      <c r="N10" s="433"/>
      <c r="O10" s="199"/>
      <c r="P10" s="429" t="str">
        <f>B10</f>
        <v>Basil, Fresh, chopped</v>
      </c>
      <c r="Q10" s="430"/>
      <c r="R10" s="430"/>
      <c r="S10" s="430"/>
      <c r="T10" s="79">
        <v>0.02</v>
      </c>
      <c r="U10" s="161" t="s">
        <v>67</v>
      </c>
      <c r="V10" s="162">
        <f>Z4*T10</f>
        <v>2</v>
      </c>
      <c r="W10" s="172">
        <f>(Z4*T10)/AC10</f>
        <v>2</v>
      </c>
      <c r="X10" s="164" t="s">
        <v>80</v>
      </c>
      <c r="Y10" s="165">
        <v>7.31</v>
      </c>
      <c r="Z10" s="166">
        <f>W10/2</f>
        <v>1</v>
      </c>
      <c r="AA10" s="166" t="s">
        <v>80</v>
      </c>
      <c r="AB10" s="167">
        <f t="shared" si="1"/>
        <v>7.31</v>
      </c>
      <c r="AC10" s="173">
        <v>1</v>
      </c>
      <c r="AD10" s="169">
        <f>AB10/Z4</f>
        <v>0.0731</v>
      </c>
      <c r="AE10" s="170">
        <f>Z4*AD10</f>
        <v>7.31</v>
      </c>
      <c r="AF10" s="12"/>
      <c r="AG10" s="12"/>
      <c r="AH10" s="12"/>
    </row>
    <row r="11" spans="1:34" ht="18.75" customHeight="1">
      <c r="A11" s="200"/>
      <c r="B11" s="431" t="s">
        <v>85</v>
      </c>
      <c r="C11" s="432"/>
      <c r="D11" s="432"/>
      <c r="E11" s="433"/>
      <c r="F11" s="436" t="s">
        <v>86</v>
      </c>
      <c r="G11" s="435"/>
      <c r="H11" s="91"/>
      <c r="I11" s="440" t="s">
        <v>87</v>
      </c>
      <c r="J11" s="440"/>
      <c r="K11" s="440"/>
      <c r="L11" s="440"/>
      <c r="M11" s="440"/>
      <c r="N11" s="441"/>
      <c r="O11" s="210"/>
      <c r="P11" s="429" t="str">
        <f t="shared" si="0"/>
        <v>Olive Oil(1.5 oz. ea)</v>
      </c>
      <c r="Q11" s="430"/>
      <c r="R11" s="430"/>
      <c r="S11" s="430"/>
      <c r="T11" s="79">
        <v>1.5</v>
      </c>
      <c r="U11" s="161" t="s">
        <v>79</v>
      </c>
      <c r="V11" s="162">
        <f>Z4*T11</f>
        <v>150</v>
      </c>
      <c r="W11" s="172">
        <f>(Z4*T11)/AC11</f>
        <v>150</v>
      </c>
      <c r="X11" s="164" t="s">
        <v>88</v>
      </c>
      <c r="Y11" s="165">
        <v>17.12</v>
      </c>
      <c r="Z11" s="166">
        <f>W11/128</f>
        <v>1.171875</v>
      </c>
      <c r="AA11" s="166" t="s">
        <v>88</v>
      </c>
      <c r="AB11" s="167">
        <f t="shared" si="1"/>
        <v>20.0625</v>
      </c>
      <c r="AC11" s="173">
        <v>1</v>
      </c>
      <c r="AD11" s="169">
        <f>AB11/Z4</f>
        <v>0.200625</v>
      </c>
      <c r="AE11" s="170">
        <f>Z4*AD11</f>
        <v>20.0625</v>
      </c>
      <c r="AF11" s="12"/>
      <c r="AG11" s="12"/>
      <c r="AH11" s="12"/>
    </row>
    <row r="12" spans="1:34" ht="18.75" customHeight="1">
      <c r="A12" s="200"/>
      <c r="B12" s="431" t="s">
        <v>89</v>
      </c>
      <c r="C12" s="432"/>
      <c r="D12" s="432"/>
      <c r="E12" s="433"/>
      <c r="F12" s="436" t="s">
        <v>90</v>
      </c>
      <c r="G12" s="435"/>
      <c r="H12" s="91">
        <v>1</v>
      </c>
      <c r="I12" s="432" t="s">
        <v>91</v>
      </c>
      <c r="J12" s="432"/>
      <c r="K12" s="432"/>
      <c r="L12" s="432"/>
      <c r="M12" s="432"/>
      <c r="N12" s="433"/>
      <c r="O12" s="199"/>
      <c r="P12" s="429" t="str">
        <f>B12</f>
        <v>Garlic, Roasted</v>
      </c>
      <c r="Q12" s="430"/>
      <c r="R12" s="430"/>
      <c r="S12" s="430"/>
      <c r="T12" s="174">
        <v>0.005</v>
      </c>
      <c r="U12" s="161" t="s">
        <v>67</v>
      </c>
      <c r="V12" s="162">
        <f>Z4*T12</f>
        <v>0.5</v>
      </c>
      <c r="W12" s="172">
        <f>(Z4*T12)/AC12</f>
        <v>0.5</v>
      </c>
      <c r="X12" s="164" t="s">
        <v>92</v>
      </c>
      <c r="Y12" s="165">
        <v>0.5</v>
      </c>
      <c r="Z12" s="166">
        <f>W12*8</f>
        <v>4</v>
      </c>
      <c r="AA12" s="166" t="s">
        <v>92</v>
      </c>
      <c r="AB12" s="167">
        <f t="shared" si="1"/>
        <v>2</v>
      </c>
      <c r="AC12" s="173">
        <v>1</v>
      </c>
      <c r="AD12" s="169">
        <f>AB12/Z4</f>
        <v>0.02</v>
      </c>
      <c r="AE12" s="170">
        <f>Z4*AD12</f>
        <v>2</v>
      </c>
      <c r="AF12" s="12"/>
      <c r="AG12" s="12"/>
      <c r="AH12" s="12"/>
    </row>
    <row r="13" spans="1:34" ht="18.75" customHeight="1">
      <c r="A13" s="200"/>
      <c r="B13" s="431" t="s">
        <v>93</v>
      </c>
      <c r="C13" s="432"/>
      <c r="D13" s="432"/>
      <c r="E13" s="433"/>
      <c r="F13" s="436" t="s">
        <v>94</v>
      </c>
      <c r="G13" s="435"/>
      <c r="H13" s="91">
        <v>2</v>
      </c>
      <c r="I13" s="432" t="s">
        <v>95</v>
      </c>
      <c r="J13" s="432"/>
      <c r="K13" s="432"/>
      <c r="L13" s="432"/>
      <c r="M13" s="432"/>
      <c r="N13" s="433"/>
      <c r="O13" s="199"/>
      <c r="P13" s="438" t="str">
        <f t="shared" si="0"/>
        <v>Pepper</v>
      </c>
      <c r="Q13" s="439"/>
      <c r="R13" s="439"/>
      <c r="S13" s="439"/>
      <c r="T13" s="79">
        <v>0.03</v>
      </c>
      <c r="U13" s="161" t="s">
        <v>96</v>
      </c>
      <c r="V13" s="162">
        <f>Z4*T13</f>
        <v>3</v>
      </c>
      <c r="W13" s="172">
        <f>(Z4*T13)/AC13</f>
        <v>3</v>
      </c>
      <c r="X13" s="164" t="s">
        <v>97</v>
      </c>
      <c r="Y13" s="165">
        <v>3.62</v>
      </c>
      <c r="Z13" s="166">
        <f>W13/16</f>
        <v>0.1875</v>
      </c>
      <c r="AA13" s="166" t="s">
        <v>98</v>
      </c>
      <c r="AB13" s="167">
        <f t="shared" si="1"/>
        <v>0.67875</v>
      </c>
      <c r="AC13" s="173">
        <v>1</v>
      </c>
      <c r="AD13" s="169">
        <f>AB13/Z4</f>
        <v>0.006787499999999999</v>
      </c>
      <c r="AE13" s="170">
        <f>Z4*AD13</f>
        <v>0.67875</v>
      </c>
      <c r="AF13" s="12"/>
      <c r="AG13" s="12"/>
      <c r="AH13" s="12"/>
    </row>
    <row r="14" spans="1:34" ht="18.75" customHeight="1">
      <c r="A14" s="200"/>
      <c r="B14" s="431" t="s">
        <v>99</v>
      </c>
      <c r="C14" s="432"/>
      <c r="D14" s="432"/>
      <c r="E14" s="433"/>
      <c r="F14" s="436" t="s">
        <v>100</v>
      </c>
      <c r="G14" s="435"/>
      <c r="H14" s="91"/>
      <c r="I14" s="432"/>
      <c r="J14" s="432"/>
      <c r="K14" s="432"/>
      <c r="L14" s="432"/>
      <c r="M14" s="432"/>
      <c r="N14" s="433"/>
      <c r="O14" s="199"/>
      <c r="P14" s="431" t="str">
        <f>B14</f>
        <v>Salt</v>
      </c>
      <c r="Q14" s="437"/>
      <c r="R14" s="437"/>
      <c r="S14" s="437"/>
      <c r="T14" s="79">
        <v>0.05</v>
      </c>
      <c r="U14" s="161" t="s">
        <v>96</v>
      </c>
      <c r="V14" s="162">
        <f>Z4*T14</f>
        <v>5</v>
      </c>
      <c r="W14" s="172">
        <f>(Z4*T14)/AC14</f>
        <v>5</v>
      </c>
      <c r="X14" s="164" t="s">
        <v>101</v>
      </c>
      <c r="Y14" s="165">
        <v>1.89</v>
      </c>
      <c r="Z14" s="166">
        <f>W14/96</f>
        <v>0.052083333333333336</v>
      </c>
      <c r="AA14" s="166" t="s">
        <v>102</v>
      </c>
      <c r="AB14" s="167">
        <f t="shared" si="1"/>
        <v>0.0984375</v>
      </c>
      <c r="AC14" s="173">
        <v>1</v>
      </c>
      <c r="AD14" s="175">
        <f>AB14/Z4</f>
        <v>0.000984375</v>
      </c>
      <c r="AE14" s="170">
        <f>Z4*AD14</f>
        <v>0.0984375</v>
      </c>
      <c r="AF14" s="12"/>
      <c r="AG14" s="12"/>
      <c r="AH14" s="12"/>
    </row>
    <row r="15" spans="1:34" ht="18.75" customHeight="1">
      <c r="A15" s="200"/>
      <c r="B15" s="431" t="s">
        <v>103</v>
      </c>
      <c r="C15" s="432"/>
      <c r="D15" s="432"/>
      <c r="E15" s="433"/>
      <c r="F15" s="434" t="s">
        <v>104</v>
      </c>
      <c r="G15" s="435"/>
      <c r="H15" s="91"/>
      <c r="I15" s="432"/>
      <c r="J15" s="432"/>
      <c r="K15" s="432"/>
      <c r="L15" s="432"/>
      <c r="M15" s="432"/>
      <c r="N15" s="435"/>
      <c r="O15" s="171"/>
      <c r="P15" s="429" t="str">
        <f t="shared" si="0"/>
        <v>Balsamic Glaze (0.75 oz. ea.)</v>
      </c>
      <c r="Q15" s="430"/>
      <c r="R15" s="430"/>
      <c r="S15" s="430"/>
      <c r="T15" s="79">
        <v>0.75</v>
      </c>
      <c r="U15" s="161" t="s">
        <v>79</v>
      </c>
      <c r="V15" s="162">
        <f>Z4*T15</f>
        <v>75</v>
      </c>
      <c r="W15" s="172">
        <f>(Z4*T15)/AC15</f>
        <v>75</v>
      </c>
      <c r="X15" s="164" t="s">
        <v>105</v>
      </c>
      <c r="Y15" s="165">
        <v>4.56</v>
      </c>
      <c r="Z15" s="176">
        <f>W15/1</f>
        <v>75</v>
      </c>
      <c r="AA15" s="176" t="s">
        <v>106</v>
      </c>
      <c r="AB15" s="167">
        <f>(Y15/12.9)*Z15</f>
        <v>26.511627906976738</v>
      </c>
      <c r="AC15" s="173">
        <v>1</v>
      </c>
      <c r="AD15" s="169">
        <f>AB15/Z4</f>
        <v>0.26511627906976737</v>
      </c>
      <c r="AE15" s="170">
        <f>Z4*AD15</f>
        <v>26.511627906976738</v>
      </c>
      <c r="AF15" s="12"/>
      <c r="AG15" s="12"/>
      <c r="AH15" s="12"/>
    </row>
    <row r="16" spans="1:34" ht="18.75" customHeight="1">
      <c r="A16" s="200"/>
      <c r="B16" s="431" t="s">
        <v>107</v>
      </c>
      <c r="C16" s="432"/>
      <c r="D16" s="432"/>
      <c r="E16" s="433"/>
      <c r="F16" s="434" t="s">
        <v>108</v>
      </c>
      <c r="G16" s="435"/>
      <c r="H16" s="91"/>
      <c r="I16" s="432"/>
      <c r="J16" s="432"/>
      <c r="K16" s="432"/>
      <c r="L16" s="432"/>
      <c r="M16" s="432"/>
      <c r="N16" s="435"/>
      <c r="O16" s="171"/>
      <c r="P16" s="429" t="str">
        <f t="shared" si="0"/>
        <v>Micro Greens(1/4 oz. ea.)</v>
      </c>
      <c r="Q16" s="430"/>
      <c r="R16" s="430"/>
      <c r="S16" s="430"/>
      <c r="T16" s="79">
        <v>0.08</v>
      </c>
      <c r="U16" s="161" t="s">
        <v>79</v>
      </c>
      <c r="V16" s="162">
        <f>Z4*T16</f>
        <v>8</v>
      </c>
      <c r="W16" s="172">
        <f>(Z4*T16)/AC16</f>
        <v>8</v>
      </c>
      <c r="X16" s="164" t="s">
        <v>109</v>
      </c>
      <c r="Y16" s="165">
        <v>17.58</v>
      </c>
      <c r="Z16" s="166">
        <f>W16/8</f>
        <v>1</v>
      </c>
      <c r="AA16" s="166" t="s">
        <v>102</v>
      </c>
      <c r="AB16" s="167">
        <f t="shared" si="1"/>
        <v>17.58</v>
      </c>
      <c r="AC16" s="173">
        <v>1</v>
      </c>
      <c r="AD16" s="169">
        <f>AB16/Z4</f>
        <v>0.17579999999999998</v>
      </c>
      <c r="AE16" s="170">
        <f>Z4*AD16</f>
        <v>17.58</v>
      </c>
      <c r="AF16" s="12"/>
      <c r="AG16" s="12"/>
      <c r="AH16" s="12"/>
    </row>
    <row r="17" spans="1:34" ht="18.75" customHeight="1">
      <c r="A17" s="200"/>
      <c r="B17" s="431"/>
      <c r="C17" s="432"/>
      <c r="D17" s="432"/>
      <c r="E17" s="433"/>
      <c r="F17" s="434"/>
      <c r="G17" s="435"/>
      <c r="H17" s="91"/>
      <c r="I17" s="432"/>
      <c r="J17" s="432"/>
      <c r="K17" s="432"/>
      <c r="L17" s="432"/>
      <c r="M17" s="432"/>
      <c r="N17" s="435"/>
      <c r="O17" s="171"/>
      <c r="P17" s="429"/>
      <c r="Q17" s="430"/>
      <c r="R17" s="430"/>
      <c r="S17" s="430"/>
      <c r="T17" s="79"/>
      <c r="U17" s="161"/>
      <c r="V17" s="162"/>
      <c r="W17" s="177"/>
      <c r="X17" s="164"/>
      <c r="Y17" s="165"/>
      <c r="Z17" s="162"/>
      <c r="AA17" s="162"/>
      <c r="AB17" s="167"/>
      <c r="AC17" s="173"/>
      <c r="AD17" s="169"/>
      <c r="AE17" s="178"/>
      <c r="AF17" s="12"/>
      <c r="AG17" s="12"/>
      <c r="AH17" s="12"/>
    </row>
    <row r="18" spans="1:34" ht="18.75" customHeight="1">
      <c r="A18" s="200"/>
      <c r="B18" s="431"/>
      <c r="C18" s="432"/>
      <c r="D18" s="432"/>
      <c r="E18" s="433"/>
      <c r="F18" s="434"/>
      <c r="G18" s="435"/>
      <c r="H18" s="91"/>
      <c r="I18" s="432"/>
      <c r="J18" s="432"/>
      <c r="K18" s="432"/>
      <c r="L18" s="432"/>
      <c r="M18" s="432"/>
      <c r="N18" s="435"/>
      <c r="O18" s="171"/>
      <c r="P18" s="429"/>
      <c r="Q18" s="430"/>
      <c r="R18" s="430"/>
      <c r="S18" s="430"/>
      <c r="T18" s="179"/>
      <c r="U18" s="161"/>
      <c r="V18" s="162"/>
      <c r="W18" s="172"/>
      <c r="X18" s="164"/>
      <c r="Y18" s="165"/>
      <c r="Z18" s="162"/>
      <c r="AA18" s="162"/>
      <c r="AB18" s="167"/>
      <c r="AC18" s="173"/>
      <c r="AD18" s="169"/>
      <c r="AE18" s="178"/>
      <c r="AF18" s="12"/>
      <c r="AG18" s="12"/>
      <c r="AH18" s="12"/>
    </row>
    <row r="19" spans="1:34" ht="18.75" customHeight="1">
      <c r="A19" s="200"/>
      <c r="B19" s="426"/>
      <c r="C19" s="427"/>
      <c r="D19" s="427"/>
      <c r="E19" s="428"/>
      <c r="F19" s="417"/>
      <c r="G19" s="418"/>
      <c r="H19" s="180"/>
      <c r="I19" s="427"/>
      <c r="J19" s="427"/>
      <c r="K19" s="427"/>
      <c r="L19" s="427"/>
      <c r="M19" s="427"/>
      <c r="N19" s="418"/>
      <c r="O19" s="181"/>
      <c r="P19" s="429" t="s">
        <v>110</v>
      </c>
      <c r="Q19" s="430"/>
      <c r="R19" s="430"/>
      <c r="S19" s="430"/>
      <c r="T19" s="179"/>
      <c r="U19" s="161"/>
      <c r="V19" s="162"/>
      <c r="W19" s="172"/>
      <c r="X19" s="164"/>
      <c r="Y19" s="165"/>
      <c r="Z19" s="162"/>
      <c r="AA19" s="162"/>
      <c r="AB19" s="167"/>
      <c r="AC19" s="173"/>
      <c r="AD19" s="169"/>
      <c r="AE19" s="178"/>
      <c r="AF19" s="12"/>
      <c r="AG19" s="12"/>
      <c r="AH19" s="12"/>
    </row>
    <row r="20" spans="1:34" ht="18.75" customHeight="1">
      <c r="A20" s="200"/>
      <c r="B20" s="426"/>
      <c r="C20" s="427"/>
      <c r="D20" s="427"/>
      <c r="E20" s="428"/>
      <c r="F20" s="417"/>
      <c r="G20" s="418"/>
      <c r="H20" s="180"/>
      <c r="I20" s="427"/>
      <c r="J20" s="427"/>
      <c r="K20" s="427"/>
      <c r="L20" s="427"/>
      <c r="M20" s="427"/>
      <c r="N20" s="418"/>
      <c r="O20" s="181"/>
      <c r="P20" s="429" t="s">
        <v>111</v>
      </c>
      <c r="Q20" s="430"/>
      <c r="R20" s="430"/>
      <c r="S20" s="430"/>
      <c r="T20" s="179"/>
      <c r="U20" s="161"/>
      <c r="V20" s="162"/>
      <c r="W20" s="177"/>
      <c r="X20" s="164"/>
      <c r="Y20" s="165"/>
      <c r="Z20" s="162"/>
      <c r="AA20" s="162"/>
      <c r="AB20" s="167"/>
      <c r="AC20" s="173"/>
      <c r="AD20" s="169"/>
      <c r="AE20" s="178"/>
      <c r="AF20" s="12"/>
      <c r="AG20" s="12"/>
      <c r="AH20" s="12"/>
    </row>
    <row r="21" spans="1:34" ht="18.75" customHeight="1">
      <c r="A21" s="200"/>
      <c r="B21" s="426"/>
      <c r="C21" s="427"/>
      <c r="D21" s="427"/>
      <c r="E21" s="428"/>
      <c r="F21" s="417"/>
      <c r="G21" s="418"/>
      <c r="H21" s="180"/>
      <c r="I21" s="427"/>
      <c r="J21" s="427"/>
      <c r="K21" s="427"/>
      <c r="L21" s="427"/>
      <c r="M21" s="427"/>
      <c r="N21" s="418"/>
      <c r="O21" s="181"/>
      <c r="P21" s="429" t="s">
        <v>112</v>
      </c>
      <c r="Q21" s="430"/>
      <c r="R21" s="430"/>
      <c r="S21" s="430"/>
      <c r="T21" s="179"/>
      <c r="U21" s="161"/>
      <c r="V21" s="162"/>
      <c r="W21" s="177"/>
      <c r="X21" s="164"/>
      <c r="Y21" s="165"/>
      <c r="Z21" s="162"/>
      <c r="AA21" s="162"/>
      <c r="AB21" s="167"/>
      <c r="AC21" s="173"/>
      <c r="AD21" s="169"/>
      <c r="AE21" s="178"/>
      <c r="AF21" s="12"/>
      <c r="AG21" s="12"/>
      <c r="AH21" s="12"/>
    </row>
    <row r="22" spans="1:34" ht="18.75" customHeight="1">
      <c r="A22" s="200"/>
      <c r="B22" s="426"/>
      <c r="C22" s="427"/>
      <c r="D22" s="427"/>
      <c r="E22" s="428"/>
      <c r="F22" s="417"/>
      <c r="G22" s="418"/>
      <c r="H22" s="180"/>
      <c r="I22" s="427"/>
      <c r="J22" s="427"/>
      <c r="K22" s="427"/>
      <c r="L22" s="427"/>
      <c r="M22" s="427"/>
      <c r="N22" s="418"/>
      <c r="O22" s="181"/>
      <c r="P22" s="429" t="s">
        <v>113</v>
      </c>
      <c r="Q22" s="430"/>
      <c r="R22" s="430"/>
      <c r="S22" s="430"/>
      <c r="T22" s="179"/>
      <c r="U22" s="161"/>
      <c r="V22" s="162"/>
      <c r="W22" s="177"/>
      <c r="X22" s="164"/>
      <c r="Y22" s="165"/>
      <c r="Z22" s="162"/>
      <c r="AA22" s="162"/>
      <c r="AB22" s="167"/>
      <c r="AC22" s="173"/>
      <c r="AD22" s="169"/>
      <c r="AE22" s="178"/>
      <c r="AF22" s="12"/>
      <c r="AG22" s="12"/>
      <c r="AH22" s="12"/>
    </row>
    <row r="23" spans="1:34" ht="9" customHeight="1">
      <c r="A23" s="200"/>
      <c r="B23" s="426"/>
      <c r="C23" s="427"/>
      <c r="D23" s="427"/>
      <c r="E23" s="428"/>
      <c r="F23" s="417"/>
      <c r="G23" s="418"/>
      <c r="H23" s="180"/>
      <c r="I23" s="427"/>
      <c r="J23" s="427"/>
      <c r="K23" s="427"/>
      <c r="L23" s="427"/>
      <c r="M23" s="427"/>
      <c r="N23" s="418"/>
      <c r="O23" s="181"/>
      <c r="P23" s="420"/>
      <c r="Q23" s="421"/>
      <c r="R23" s="421"/>
      <c r="S23" s="421"/>
      <c r="T23" s="40"/>
      <c r="U23" s="41"/>
      <c r="V23" s="182"/>
      <c r="W23" s="183"/>
      <c r="X23" s="184"/>
      <c r="Y23" s="42"/>
      <c r="Z23" s="182"/>
      <c r="AA23" s="182"/>
      <c r="AB23" s="51"/>
      <c r="AC23" s="43"/>
      <c r="AD23" s="52"/>
      <c r="AE23" s="53"/>
      <c r="AF23" s="12"/>
      <c r="AG23" s="12"/>
      <c r="AH23" s="12"/>
    </row>
    <row r="24" spans="1:34" ht="10.5" customHeight="1" thickBot="1">
      <c r="A24" s="200"/>
      <c r="B24" s="414"/>
      <c r="C24" s="415"/>
      <c r="D24" s="415"/>
      <c r="E24" s="416"/>
      <c r="F24" s="417"/>
      <c r="G24" s="418"/>
      <c r="H24" s="39"/>
      <c r="I24" s="415"/>
      <c r="J24" s="415"/>
      <c r="K24" s="415"/>
      <c r="L24" s="415"/>
      <c r="M24" s="415"/>
      <c r="N24" s="419"/>
      <c r="O24" s="181"/>
      <c r="P24" s="420"/>
      <c r="Q24" s="421"/>
      <c r="R24" s="421"/>
      <c r="S24" s="421"/>
      <c r="T24" s="40"/>
      <c r="U24" s="41"/>
      <c r="V24" s="182"/>
      <c r="W24" s="183"/>
      <c r="X24" s="184"/>
      <c r="Y24" s="42"/>
      <c r="Z24" s="182"/>
      <c r="AA24" s="182"/>
      <c r="AB24" s="51"/>
      <c r="AC24" s="43"/>
      <c r="AD24" s="52"/>
      <c r="AE24" s="53"/>
      <c r="AF24" s="12"/>
      <c r="AG24" s="12"/>
      <c r="AH24" s="12"/>
    </row>
    <row r="25" spans="1:34" ht="20.25" customHeight="1" thickBot="1">
      <c r="A25" s="200"/>
      <c r="B25" s="185"/>
      <c r="C25" s="186"/>
      <c r="D25" s="186"/>
      <c r="E25" s="186"/>
      <c r="F25" s="186"/>
      <c r="G25" s="186"/>
      <c r="H25" s="186"/>
      <c r="I25" s="186"/>
      <c r="J25" s="186"/>
      <c r="K25" s="186"/>
      <c r="L25" s="187"/>
      <c r="M25" s="26"/>
      <c r="N25" s="26"/>
      <c r="O25" s="26"/>
      <c r="P25" s="422" t="s">
        <v>47</v>
      </c>
      <c r="Q25" s="423"/>
      <c r="R25" s="423"/>
      <c r="S25" s="424"/>
      <c r="T25" s="425" t="s">
        <v>7</v>
      </c>
      <c r="U25" s="424"/>
      <c r="V25" s="424"/>
      <c r="W25" s="424"/>
      <c r="X25" s="424"/>
      <c r="Y25" s="424"/>
      <c r="Z25" s="424"/>
      <c r="AA25" s="424"/>
      <c r="AB25" s="424"/>
      <c r="AC25" s="424"/>
      <c r="AD25" s="424"/>
      <c r="AE25" s="115">
        <f>ROUNDUP(SUM(AE8:AE24),5)</f>
        <v>127.14242</v>
      </c>
      <c r="AF25" s="12"/>
      <c r="AG25" s="12"/>
      <c r="AH25" s="12"/>
    </row>
    <row r="26" spans="1:34" ht="18" customHeight="1">
      <c r="A26" s="200"/>
      <c r="B26" s="404" t="s">
        <v>45</v>
      </c>
      <c r="C26" s="405"/>
      <c r="D26" s="405"/>
      <c r="E26" s="405"/>
      <c r="F26" s="405"/>
      <c r="G26" s="405"/>
      <c r="H26" s="405"/>
      <c r="I26" s="405"/>
      <c r="J26" s="405"/>
      <c r="K26" s="405"/>
      <c r="L26" s="406"/>
      <c r="M26" s="8"/>
      <c r="N26" s="8"/>
      <c r="O26" s="8"/>
      <c r="P26" s="407"/>
      <c r="Q26" s="408"/>
      <c r="R26" s="408"/>
      <c r="S26" s="408"/>
      <c r="T26" s="134"/>
      <c r="U26" s="134"/>
      <c r="V26" s="134"/>
      <c r="W26" s="134"/>
      <c r="X26" s="134"/>
      <c r="Y26" s="135" t="s">
        <v>9</v>
      </c>
      <c r="Z26" s="135"/>
      <c r="AA26" s="135"/>
      <c r="AB26" s="135"/>
      <c r="AC26" s="135"/>
      <c r="AD26" s="135"/>
      <c r="AE26" s="117">
        <f>ROUND(AE25*10/100,5)</f>
        <v>12.71424</v>
      </c>
      <c r="AF26" s="12"/>
      <c r="AG26" s="12"/>
      <c r="AH26" s="12"/>
    </row>
    <row r="27" spans="1:34" ht="19.5" customHeight="1" thickBot="1">
      <c r="A27" s="200"/>
      <c r="B27" s="409" t="s">
        <v>42</v>
      </c>
      <c r="C27" s="410"/>
      <c r="D27" s="410"/>
      <c r="E27" s="410"/>
      <c r="F27" s="410"/>
      <c r="G27" s="188"/>
      <c r="H27" s="411" t="s">
        <v>46</v>
      </c>
      <c r="I27" s="411"/>
      <c r="J27" s="411" t="s">
        <v>114</v>
      </c>
      <c r="K27" s="410"/>
      <c r="L27" s="412"/>
      <c r="M27" s="188"/>
      <c r="N27" s="188"/>
      <c r="O27" s="188"/>
      <c r="P27" s="136"/>
      <c r="Q27" s="137"/>
      <c r="R27" s="413"/>
      <c r="S27" s="413"/>
      <c r="T27" s="138"/>
      <c r="U27" s="138"/>
      <c r="V27" s="138"/>
      <c r="W27" s="138"/>
      <c r="X27" s="138"/>
      <c r="Y27" s="139" t="s">
        <v>6</v>
      </c>
      <c r="Z27" s="139"/>
      <c r="AA27" s="139"/>
      <c r="AB27" s="139"/>
      <c r="AC27" s="139"/>
      <c r="AD27" s="139"/>
      <c r="AE27" s="120">
        <f>AE25+AE26</f>
        <v>139.85666</v>
      </c>
      <c r="AF27" s="12"/>
      <c r="AG27" s="12"/>
      <c r="AH27" s="12"/>
    </row>
    <row r="28" spans="1:34" ht="7.5" customHeight="1" thickBot="1">
      <c r="A28" s="200"/>
      <c r="P28" s="200"/>
      <c r="Q28" s="200"/>
      <c r="R28" s="200"/>
      <c r="S28" s="200"/>
      <c r="T28" s="399"/>
      <c r="U28" s="399"/>
      <c r="V28" s="198"/>
      <c r="W28" s="198"/>
      <c r="X28" s="198"/>
      <c r="Y28" s="198"/>
      <c r="Z28" s="198"/>
      <c r="AA28" s="198"/>
      <c r="AB28" s="198"/>
      <c r="AC28" s="205"/>
      <c r="AD28" s="205"/>
      <c r="AE28" s="205"/>
      <c r="AF28" s="1"/>
      <c r="AG28" s="1"/>
      <c r="AH28" s="1"/>
    </row>
    <row r="29" spans="1:34" ht="18" customHeight="1">
      <c r="A29" s="200"/>
      <c r="B29" s="197" t="s">
        <v>35</v>
      </c>
      <c r="C29" s="393" t="s">
        <v>36</v>
      </c>
      <c r="D29" s="393"/>
      <c r="E29" s="63" t="s">
        <v>37</v>
      </c>
      <c r="F29" s="63" t="s">
        <v>38</v>
      </c>
      <c r="G29" s="63" t="s">
        <v>39</v>
      </c>
      <c r="H29" s="393" t="s">
        <v>40</v>
      </c>
      <c r="I29" s="393"/>
      <c r="J29" s="393" t="s">
        <v>41</v>
      </c>
      <c r="K29" s="393"/>
      <c r="L29" s="393" t="s">
        <v>52</v>
      </c>
      <c r="M29" s="394"/>
      <c r="N29" s="64"/>
      <c r="O29" s="64"/>
      <c r="P29" s="400" t="s">
        <v>5</v>
      </c>
      <c r="Q29" s="401"/>
      <c r="R29" s="401"/>
      <c r="S29" s="202"/>
      <c r="T29" s="402"/>
      <c r="U29" s="403"/>
      <c r="V29" s="209"/>
      <c r="W29" s="209"/>
      <c r="X29" s="209"/>
      <c r="Y29" s="391" t="s">
        <v>68</v>
      </c>
      <c r="Z29" s="392"/>
      <c r="AA29" s="392"/>
      <c r="AB29" s="392"/>
      <c r="AC29" s="189"/>
      <c r="AD29" s="189"/>
      <c r="AE29" s="190">
        <f>AE27/Z4</f>
        <v>1.3985666</v>
      </c>
      <c r="AF29" s="6"/>
      <c r="AG29" s="6"/>
      <c r="AH29" s="6"/>
    </row>
    <row r="30" spans="1:34" ht="30.75" customHeight="1">
      <c r="A30" s="200"/>
      <c r="B30" s="197"/>
      <c r="C30" s="393"/>
      <c r="D30" s="393"/>
      <c r="E30" s="63"/>
      <c r="F30" s="63"/>
      <c r="G30" s="63"/>
      <c r="H30" s="393"/>
      <c r="I30" s="393"/>
      <c r="J30" s="393"/>
      <c r="K30" s="393"/>
      <c r="L30" s="393"/>
      <c r="M30" s="394"/>
      <c r="N30" s="65"/>
      <c r="O30" s="65"/>
      <c r="P30" s="191" t="s">
        <v>19</v>
      </c>
      <c r="Q30" s="192" t="s">
        <v>20</v>
      </c>
      <c r="R30" s="193" t="s">
        <v>21</v>
      </c>
      <c r="S30" s="194" t="s">
        <v>22</v>
      </c>
      <c r="T30" s="395" t="s">
        <v>8</v>
      </c>
      <c r="U30" s="396"/>
      <c r="V30" s="195"/>
      <c r="W30" s="195"/>
      <c r="X30" s="195"/>
      <c r="Y30" s="397" t="s">
        <v>69</v>
      </c>
      <c r="Z30" s="398"/>
      <c r="AA30" s="196"/>
      <c r="AB30" s="196"/>
      <c r="AC30" s="208" t="s">
        <v>23</v>
      </c>
      <c r="AD30" s="385" t="s">
        <v>115</v>
      </c>
      <c r="AE30" s="386"/>
      <c r="AF30" s="6"/>
      <c r="AG30" s="6"/>
      <c r="AH30" s="6"/>
    </row>
    <row r="31" spans="1:31" ht="19.5" customHeight="1" thickBot="1">
      <c r="A31" s="200"/>
      <c r="P31" s="123">
        <v>1</v>
      </c>
      <c r="Q31" s="124"/>
      <c r="R31" s="125">
        <f>AE27</f>
        <v>139.85666</v>
      </c>
      <c r="S31" s="126">
        <v>0</v>
      </c>
      <c r="T31" s="387">
        <f>R31+S31</f>
        <v>139.85666</v>
      </c>
      <c r="U31" s="388"/>
      <c r="V31" s="127"/>
      <c r="W31" s="128"/>
      <c r="X31" s="128"/>
      <c r="Y31" s="119"/>
      <c r="Z31" s="129">
        <f>(T31/AC31)/Z4</f>
        <v>4.661888666666667</v>
      </c>
      <c r="AA31" s="129"/>
      <c r="AB31" s="129"/>
      <c r="AC31" s="130">
        <v>0.3</v>
      </c>
      <c r="AD31" s="389">
        <f ca="1">NOW()</f>
        <v>41359.56477372685</v>
      </c>
      <c r="AE31" s="390"/>
    </row>
  </sheetData>
  <sheetProtection/>
  <mergeCells count="109">
    <mergeCell ref="A1:N1"/>
    <mergeCell ref="Q1:AC1"/>
    <mergeCell ref="A2:J2"/>
    <mergeCell ref="B3:L3"/>
    <mergeCell ref="P3:AE3"/>
    <mergeCell ref="B4:C4"/>
    <mergeCell ref="D4:H4"/>
    <mergeCell ref="P4:Q4"/>
    <mergeCell ref="R4:V4"/>
    <mergeCell ref="C5:H6"/>
    <mergeCell ref="R5:X6"/>
    <mergeCell ref="B7:E7"/>
    <mergeCell ref="F7:G7"/>
    <mergeCell ref="H7:N7"/>
    <mergeCell ref="P7:S7"/>
    <mergeCell ref="Z7:AA7"/>
    <mergeCell ref="B8:E8"/>
    <mergeCell ref="F8:G8"/>
    <mergeCell ref="I8:N8"/>
    <mergeCell ref="P8:S8"/>
    <mergeCell ref="B9:E9"/>
    <mergeCell ref="F9:G9"/>
    <mergeCell ref="I9:N9"/>
    <mergeCell ref="P9:S9"/>
    <mergeCell ref="B10:E10"/>
    <mergeCell ref="F10:G10"/>
    <mergeCell ref="I10:N10"/>
    <mergeCell ref="P10:S10"/>
    <mergeCell ref="B11:E11"/>
    <mergeCell ref="F11:G11"/>
    <mergeCell ref="I11:N11"/>
    <mergeCell ref="P11:S11"/>
    <mergeCell ref="B12:E12"/>
    <mergeCell ref="F12:G12"/>
    <mergeCell ref="I12:N12"/>
    <mergeCell ref="P12:S12"/>
    <mergeCell ref="B13:E13"/>
    <mergeCell ref="F13:G13"/>
    <mergeCell ref="I13:N13"/>
    <mergeCell ref="P13:S13"/>
    <mergeCell ref="B14:E14"/>
    <mergeCell ref="F14:G14"/>
    <mergeCell ref="I14:N14"/>
    <mergeCell ref="P14:S14"/>
    <mergeCell ref="B15:E15"/>
    <mergeCell ref="F15:G15"/>
    <mergeCell ref="I15:N15"/>
    <mergeCell ref="P15:S15"/>
    <mergeCell ref="B16:E16"/>
    <mergeCell ref="F16:G16"/>
    <mergeCell ref="I16:N16"/>
    <mergeCell ref="P16:S16"/>
    <mergeCell ref="B17:E17"/>
    <mergeCell ref="F17:G17"/>
    <mergeCell ref="I17:N17"/>
    <mergeCell ref="P17:S17"/>
    <mergeCell ref="B18:E18"/>
    <mergeCell ref="F18:G18"/>
    <mergeCell ref="I18:N18"/>
    <mergeCell ref="P18:S18"/>
    <mergeCell ref="B19:E19"/>
    <mergeCell ref="F19:G19"/>
    <mergeCell ref="I19:N19"/>
    <mergeCell ref="P19:S19"/>
    <mergeCell ref="B20:E20"/>
    <mergeCell ref="F20:G20"/>
    <mergeCell ref="I20:N20"/>
    <mergeCell ref="P20:S20"/>
    <mergeCell ref="B21:E21"/>
    <mergeCell ref="F21:G21"/>
    <mergeCell ref="I21:N21"/>
    <mergeCell ref="P21:S21"/>
    <mergeCell ref="B22:E22"/>
    <mergeCell ref="F22:G22"/>
    <mergeCell ref="I22:N22"/>
    <mergeCell ref="P22:S22"/>
    <mergeCell ref="B23:E23"/>
    <mergeCell ref="F23:G23"/>
    <mergeCell ref="I23:N23"/>
    <mergeCell ref="P23:S23"/>
    <mergeCell ref="B24:E24"/>
    <mergeCell ref="F24:G24"/>
    <mergeCell ref="I24:N24"/>
    <mergeCell ref="P24:S24"/>
    <mergeCell ref="P25:S25"/>
    <mergeCell ref="T25:AD25"/>
    <mergeCell ref="B26:L26"/>
    <mergeCell ref="P26:S26"/>
    <mergeCell ref="B27:F27"/>
    <mergeCell ref="H27:I27"/>
    <mergeCell ref="J27:L27"/>
    <mergeCell ref="R27:S27"/>
    <mergeCell ref="T28:U28"/>
    <mergeCell ref="C29:D29"/>
    <mergeCell ref="H29:I29"/>
    <mergeCell ref="J29:K29"/>
    <mergeCell ref="L29:M29"/>
    <mergeCell ref="P29:R29"/>
    <mergeCell ref="T29:U29"/>
    <mergeCell ref="AD30:AE30"/>
    <mergeCell ref="T31:U31"/>
    <mergeCell ref="AD31:AE31"/>
    <mergeCell ref="Y29:AB29"/>
    <mergeCell ref="C30:D30"/>
    <mergeCell ref="H30:I30"/>
    <mergeCell ref="J30:K30"/>
    <mergeCell ref="L30:M30"/>
    <mergeCell ref="T30:U30"/>
    <mergeCell ref="Y30:Z3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H28"/>
  <sheetViews>
    <sheetView workbookViewId="0" topLeftCell="A1">
      <selection activeCell="M1" sqref="M1"/>
    </sheetView>
  </sheetViews>
  <sheetFormatPr defaultColWidth="9.140625" defaultRowHeight="12.75"/>
  <cols>
    <col min="1" max="1" width="11.140625" style="71" customWidth="1"/>
    <col min="2" max="3" width="9.140625" style="71" customWidth="1"/>
    <col min="4" max="4" width="11.00390625" style="71" customWidth="1"/>
    <col min="5" max="5" width="9.140625" style="71" customWidth="1"/>
    <col min="6" max="6" width="11.28125" style="71" customWidth="1"/>
    <col min="7" max="7" width="4.8515625" style="71" customWidth="1"/>
    <col min="8" max="8" width="8.57421875" style="71" customWidth="1"/>
    <col min="9" max="9" width="9.8515625" style="71" customWidth="1"/>
    <col min="10" max="10" width="8.57421875" style="71" customWidth="1"/>
    <col min="11" max="12" width="13.7109375" style="71" customWidth="1"/>
    <col min="13" max="13" width="38.8515625" style="71" customWidth="1"/>
    <col min="14" max="16" width="9.140625" style="71" customWidth="1"/>
    <col min="17" max="17" width="8.8515625" style="71" customWidth="1"/>
    <col min="18" max="18" width="9.421875" style="71" customWidth="1"/>
    <col min="19" max="19" width="8.28125" style="71" customWidth="1"/>
    <col min="20" max="20" width="10.421875" style="71" customWidth="1"/>
    <col min="21" max="21" width="8.8515625" style="71" customWidth="1"/>
    <col min="22" max="22" width="9.8515625" style="71" customWidth="1"/>
    <col min="23" max="24" width="11.28125" style="71" customWidth="1"/>
    <col min="25" max="25" width="5.7109375" style="71" customWidth="1"/>
    <col min="26" max="26" width="11.421875" style="71" customWidth="1"/>
    <col min="27" max="28" width="9.140625" style="71" customWidth="1"/>
    <col min="29" max="29" width="11.57421875" style="71" customWidth="1"/>
    <col min="30" max="32" width="9.00390625" style="71" customWidth="1"/>
    <col min="33" max="16384" width="9.140625" style="71"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69"/>
      <c r="AE1" s="69"/>
      <c r="AF1" s="69"/>
      <c r="AG1" s="70"/>
      <c r="AH1" s="70"/>
    </row>
    <row r="2" spans="1:34" ht="47.25" customHeight="1" thickBot="1">
      <c r="A2" s="450" t="s">
        <v>44</v>
      </c>
      <c r="B2" s="450"/>
      <c r="C2" s="469" t="s">
        <v>141</v>
      </c>
      <c r="D2" s="469"/>
      <c r="E2" s="469"/>
      <c r="F2" s="469"/>
      <c r="G2" s="469"/>
      <c r="H2" s="72" t="s">
        <v>55</v>
      </c>
      <c r="I2" s="73">
        <v>150</v>
      </c>
      <c r="J2" s="72" t="s">
        <v>48</v>
      </c>
      <c r="K2" s="74" t="s">
        <v>59</v>
      </c>
      <c r="L2" s="75" t="s">
        <v>60</v>
      </c>
      <c r="M2" s="76"/>
      <c r="N2" s="470" t="s">
        <v>17</v>
      </c>
      <c r="O2" s="470"/>
      <c r="P2" s="471" t="str">
        <f>C2</f>
        <v>Beef Carpaccio Crostini</v>
      </c>
      <c r="Q2" s="471"/>
      <c r="R2" s="471"/>
      <c r="S2" s="471"/>
      <c r="T2" s="472"/>
      <c r="U2" s="77"/>
      <c r="V2" s="77"/>
      <c r="W2" s="72" t="s">
        <v>55</v>
      </c>
      <c r="X2" s="78">
        <f>I2</f>
        <v>150</v>
      </c>
      <c r="Y2" s="79"/>
      <c r="Z2" s="80" t="s">
        <v>53</v>
      </c>
      <c r="AA2" s="81" t="str">
        <f>K2</f>
        <v>1 ounce </v>
      </c>
      <c r="AB2" s="82" t="str">
        <f>L2</f>
        <v>per serving</v>
      </c>
      <c r="AC2" s="83"/>
      <c r="AD2" s="84"/>
      <c r="AE2" s="84"/>
      <c r="AF2" s="84"/>
      <c r="AG2" s="83"/>
      <c r="AH2" s="83"/>
    </row>
    <row r="3" spans="1:34" ht="19.5" customHeight="1">
      <c r="A3" s="68"/>
      <c r="B3" s="450"/>
      <c r="C3" s="506"/>
      <c r="D3" s="506"/>
      <c r="E3" s="506"/>
      <c r="F3" s="506"/>
      <c r="G3" s="506"/>
      <c r="H3" s="508"/>
      <c r="I3" s="506"/>
      <c r="J3" s="506"/>
      <c r="K3" s="506"/>
      <c r="L3" s="85"/>
      <c r="M3" s="86"/>
      <c r="N3" s="72"/>
      <c r="O3" s="72"/>
      <c r="P3" s="505">
        <f>C3</f>
        <v>0</v>
      </c>
      <c r="Q3" s="506"/>
      <c r="R3" s="506"/>
      <c r="S3" s="506"/>
      <c r="T3" s="506"/>
      <c r="U3" s="506"/>
      <c r="V3" s="506"/>
      <c r="W3" s="72"/>
      <c r="X3" s="79">
        <f>H3</f>
        <v>0</v>
      </c>
      <c r="Y3" s="79"/>
      <c r="Z3" s="80"/>
      <c r="AA3" s="81"/>
      <c r="AB3" s="87"/>
      <c r="AC3" s="83"/>
      <c r="AD3" s="84"/>
      <c r="AE3" s="84"/>
      <c r="AF3" s="84"/>
      <c r="AG3" s="83"/>
      <c r="AH3" s="83"/>
    </row>
    <row r="4" spans="2:34" ht="15" customHeight="1" thickBot="1">
      <c r="B4" s="507"/>
      <c r="C4" s="507"/>
      <c r="D4" s="507"/>
      <c r="E4" s="507"/>
      <c r="F4" s="507"/>
      <c r="G4" s="507"/>
      <c r="H4" s="88"/>
      <c r="I4" s="88"/>
      <c r="N4" s="89"/>
      <c r="O4" s="89"/>
      <c r="P4" s="507"/>
      <c r="Q4" s="507"/>
      <c r="R4" s="507"/>
      <c r="S4" s="507"/>
      <c r="T4" s="507"/>
      <c r="U4" s="507"/>
      <c r="V4" s="507"/>
      <c r="W4" s="69"/>
      <c r="X4" s="83"/>
      <c r="Y4" s="83"/>
      <c r="Z4" s="83"/>
      <c r="AA4" s="83"/>
      <c r="AB4" s="83"/>
      <c r="AC4" s="83"/>
      <c r="AD4" s="90"/>
      <c r="AE4" s="90"/>
      <c r="AF4" s="90"/>
      <c r="AG4" s="83"/>
      <c r="AH4" s="83"/>
    </row>
    <row r="5" spans="1:32" ht="45.75" customHeight="1" thickBot="1">
      <c r="A5" s="455" t="s">
        <v>1</v>
      </c>
      <c r="B5" s="456"/>
      <c r="C5" s="456"/>
      <c r="D5" s="457"/>
      <c r="E5" s="458" t="s">
        <v>54</v>
      </c>
      <c r="F5" s="459"/>
      <c r="G5" s="458" t="s">
        <v>32</v>
      </c>
      <c r="H5" s="460"/>
      <c r="I5" s="460"/>
      <c r="J5" s="460"/>
      <c r="K5" s="460"/>
      <c r="L5" s="460"/>
      <c r="M5" s="459"/>
      <c r="N5" s="461" t="s">
        <v>1</v>
      </c>
      <c r="O5" s="462"/>
      <c r="P5" s="462"/>
      <c r="Q5" s="462"/>
      <c r="R5" s="131" t="s">
        <v>31</v>
      </c>
      <c r="S5" s="132" t="s">
        <v>2</v>
      </c>
      <c r="T5" s="131" t="s">
        <v>51</v>
      </c>
      <c r="U5" s="131" t="s">
        <v>30</v>
      </c>
      <c r="V5" s="131" t="s">
        <v>49</v>
      </c>
      <c r="W5" s="131" t="s">
        <v>57</v>
      </c>
      <c r="X5" s="442" t="s">
        <v>65</v>
      </c>
      <c r="Y5" s="442"/>
      <c r="Z5" s="131" t="s">
        <v>50</v>
      </c>
      <c r="AA5" s="131" t="s">
        <v>13</v>
      </c>
      <c r="AB5" s="131" t="s">
        <v>61</v>
      </c>
      <c r="AC5" s="133" t="s">
        <v>62</v>
      </c>
      <c r="AD5" s="69"/>
      <c r="AE5" s="69"/>
      <c r="AF5" s="69"/>
    </row>
    <row r="6" spans="1:32" ht="32.25" customHeight="1">
      <c r="A6" s="497" t="s">
        <v>170</v>
      </c>
      <c r="B6" s="498"/>
      <c r="C6" s="498"/>
      <c r="D6" s="499"/>
      <c r="E6" s="446" t="s">
        <v>164</v>
      </c>
      <c r="F6" s="447"/>
      <c r="G6" s="91">
        <v>1</v>
      </c>
      <c r="H6" s="444" t="s">
        <v>174</v>
      </c>
      <c r="I6" s="500"/>
      <c r="J6" s="500"/>
      <c r="K6" s="500"/>
      <c r="L6" s="500"/>
      <c r="M6" s="501"/>
      <c r="N6" s="485" t="str">
        <f>A6</f>
        <v>Beef Tenderloin, Roasted, Sliced -- See Recipe</v>
      </c>
      <c r="O6" s="486"/>
      <c r="P6" s="486"/>
      <c r="Q6" s="486"/>
      <c r="R6" s="92">
        <v>1</v>
      </c>
      <c r="S6" s="93" t="s">
        <v>183</v>
      </c>
      <c r="T6" s="94">
        <f>R6*X2</f>
        <v>150</v>
      </c>
      <c r="U6" s="95">
        <f>(X2*R6)/AA6</f>
        <v>150</v>
      </c>
      <c r="V6" s="96"/>
      <c r="W6" s="97">
        <v>68.94</v>
      </c>
      <c r="X6" s="98">
        <f>U6/1</f>
        <v>150</v>
      </c>
      <c r="Y6" s="98" t="s">
        <v>66</v>
      </c>
      <c r="Z6" s="99">
        <f>(W6/150)*X6</f>
        <v>68.94</v>
      </c>
      <c r="AA6" s="100">
        <v>1</v>
      </c>
      <c r="AB6" s="101">
        <f>Z6/X2</f>
        <v>0.4596</v>
      </c>
      <c r="AC6" s="102">
        <f>X2*AB6</f>
        <v>68.94</v>
      </c>
      <c r="AD6" s="103"/>
      <c r="AE6" s="103"/>
      <c r="AF6" s="103"/>
    </row>
    <row r="7" spans="1:32" ht="28.5" customHeight="1">
      <c r="A7" s="502" t="s">
        <v>187</v>
      </c>
      <c r="B7" s="503"/>
      <c r="C7" s="503"/>
      <c r="D7" s="504"/>
      <c r="E7" s="436" t="s">
        <v>172</v>
      </c>
      <c r="F7" s="435"/>
      <c r="G7" s="91">
        <v>2</v>
      </c>
      <c r="H7" s="432" t="s">
        <v>188</v>
      </c>
      <c r="I7" s="483"/>
      <c r="J7" s="483"/>
      <c r="K7" s="483"/>
      <c r="L7" s="483"/>
      <c r="M7" s="484"/>
      <c r="N7" s="485" t="str">
        <f>A7</f>
        <v>Caramelized Red Onions --  See Recipe</v>
      </c>
      <c r="O7" s="486"/>
      <c r="P7" s="486"/>
      <c r="Q7" s="486"/>
      <c r="R7" s="92">
        <v>1</v>
      </c>
      <c r="S7" s="93" t="s">
        <v>183</v>
      </c>
      <c r="T7" s="98">
        <f>X2*R7</f>
        <v>150</v>
      </c>
      <c r="U7" s="95">
        <f>(X2*R7)/AA7</f>
        <v>150</v>
      </c>
      <c r="V7" s="96"/>
      <c r="W7" s="97">
        <v>5.43</v>
      </c>
      <c r="X7" s="98">
        <f>U7/1</f>
        <v>150</v>
      </c>
      <c r="Y7" s="98" t="s">
        <v>66</v>
      </c>
      <c r="Z7" s="99">
        <f>(W7/150)*X7</f>
        <v>5.43</v>
      </c>
      <c r="AA7" s="100">
        <v>1</v>
      </c>
      <c r="AB7" s="101">
        <f>Z7/X2</f>
        <v>0.036199999999999996</v>
      </c>
      <c r="AC7" s="102">
        <f>X2*AB7</f>
        <v>5.43</v>
      </c>
      <c r="AD7" s="103"/>
      <c r="AE7" s="103"/>
      <c r="AF7" s="103"/>
    </row>
    <row r="8" spans="1:32" ht="18.75" customHeight="1">
      <c r="A8" s="431" t="s">
        <v>167</v>
      </c>
      <c r="B8" s="432"/>
      <c r="C8" s="432"/>
      <c r="D8" s="433"/>
      <c r="E8" s="434" t="s">
        <v>168</v>
      </c>
      <c r="F8" s="435"/>
      <c r="G8" s="91">
        <v>3</v>
      </c>
      <c r="H8" s="432" t="s">
        <v>189</v>
      </c>
      <c r="I8" s="483"/>
      <c r="J8" s="483"/>
      <c r="K8" s="483"/>
      <c r="L8" s="483"/>
      <c r="M8" s="484"/>
      <c r="N8" s="485" t="str">
        <f>A8</f>
        <v>Balsamic Glaze </v>
      </c>
      <c r="O8" s="486"/>
      <c r="P8" s="486"/>
      <c r="Q8" s="486"/>
      <c r="R8" s="104">
        <f>27/150</f>
        <v>0.18</v>
      </c>
      <c r="S8" s="93" t="s">
        <v>106</v>
      </c>
      <c r="T8" s="94">
        <f>X2*R8</f>
        <v>27</v>
      </c>
      <c r="U8" s="95">
        <f>(X2*R8)/AA8</f>
        <v>27</v>
      </c>
      <c r="V8" s="96" t="s">
        <v>216</v>
      </c>
      <c r="W8" s="97">
        <v>5.18</v>
      </c>
      <c r="X8" s="98">
        <f>U8/1</f>
        <v>27</v>
      </c>
      <c r="Y8" s="98" t="s">
        <v>217</v>
      </c>
      <c r="Z8" s="99">
        <f>(W8/13.5)*X8</f>
        <v>10.36</v>
      </c>
      <c r="AA8" s="100">
        <v>1</v>
      </c>
      <c r="AB8" s="101">
        <f>Z8/X2</f>
        <v>0.06906666666666667</v>
      </c>
      <c r="AC8" s="102">
        <f>X2*AB8</f>
        <v>10.36</v>
      </c>
      <c r="AD8" s="103"/>
      <c r="AE8" s="103"/>
      <c r="AF8" s="103"/>
    </row>
    <row r="9" spans="1:32" ht="18.75" customHeight="1">
      <c r="A9" s="431" t="s">
        <v>169</v>
      </c>
      <c r="B9" s="432"/>
      <c r="C9" s="432"/>
      <c r="D9" s="433"/>
      <c r="E9" s="436" t="s">
        <v>58</v>
      </c>
      <c r="F9" s="435"/>
      <c r="G9" s="91">
        <v>4</v>
      </c>
      <c r="H9" s="432" t="s">
        <v>175</v>
      </c>
      <c r="I9" s="483"/>
      <c r="J9" s="483"/>
      <c r="K9" s="483"/>
      <c r="L9" s="483"/>
      <c r="M9" s="484"/>
      <c r="N9" s="485" t="str">
        <f>A9</f>
        <v>Horseradish Sauce</v>
      </c>
      <c r="O9" s="486"/>
      <c r="P9" s="486"/>
      <c r="Q9" s="486"/>
      <c r="R9" s="104">
        <f>2/150</f>
        <v>0.013333333333333334</v>
      </c>
      <c r="S9" s="93" t="s">
        <v>67</v>
      </c>
      <c r="T9" s="94">
        <f>X2*R9</f>
        <v>2</v>
      </c>
      <c r="U9" s="95">
        <f>(X2*R9)/AA9</f>
        <v>2</v>
      </c>
      <c r="V9" s="96" t="s">
        <v>166</v>
      </c>
      <c r="W9" s="97">
        <v>14.97</v>
      </c>
      <c r="X9" s="98">
        <f>U9/1</f>
        <v>2</v>
      </c>
      <c r="Y9" s="98" t="s">
        <v>67</v>
      </c>
      <c r="Z9" s="99">
        <f>(W9/16)*X9</f>
        <v>1.87125</v>
      </c>
      <c r="AA9" s="100">
        <v>1</v>
      </c>
      <c r="AB9" s="101">
        <f>Z9/X2</f>
        <v>0.012475</v>
      </c>
      <c r="AC9" s="102">
        <f>X2*AB9</f>
        <v>1.87125</v>
      </c>
      <c r="AD9" s="103"/>
      <c r="AE9" s="103"/>
      <c r="AF9" s="103"/>
    </row>
    <row r="10" spans="1:32" ht="18.75" customHeight="1">
      <c r="A10" s="431" t="s">
        <v>190</v>
      </c>
      <c r="B10" s="432"/>
      <c r="C10" s="432"/>
      <c r="D10" s="433"/>
      <c r="E10" s="436"/>
      <c r="F10" s="493"/>
      <c r="G10" s="91"/>
      <c r="H10" s="432"/>
      <c r="I10" s="494"/>
      <c r="J10" s="494"/>
      <c r="K10" s="494"/>
      <c r="L10" s="494"/>
      <c r="M10" s="495"/>
      <c r="N10" s="485" t="str">
        <f>A10</f>
        <v>Baguette Bread</v>
      </c>
      <c r="O10" s="486"/>
      <c r="P10" s="486"/>
      <c r="Q10" s="486"/>
      <c r="R10" s="105"/>
      <c r="S10" s="93"/>
      <c r="T10" s="94"/>
      <c r="U10" s="95"/>
      <c r="V10" s="96"/>
      <c r="W10" s="97"/>
      <c r="X10" s="98"/>
      <c r="Y10" s="98"/>
      <c r="Z10" s="99"/>
      <c r="AA10" s="106"/>
      <c r="AB10" s="101"/>
      <c r="AC10" s="107"/>
      <c r="AD10" s="103"/>
      <c r="AE10" s="103"/>
      <c r="AF10" s="103"/>
    </row>
    <row r="11" spans="1:32" ht="18.75" customHeight="1">
      <c r="A11" s="431"/>
      <c r="B11" s="432"/>
      <c r="C11" s="432"/>
      <c r="D11" s="433"/>
      <c r="E11" s="436"/>
      <c r="F11" s="493"/>
      <c r="G11" s="91"/>
      <c r="H11" s="432" t="s">
        <v>176</v>
      </c>
      <c r="I11" s="494"/>
      <c r="J11" s="494"/>
      <c r="K11" s="494"/>
      <c r="L11" s="494"/>
      <c r="M11" s="495"/>
      <c r="N11" s="496"/>
      <c r="O11" s="439"/>
      <c r="P11" s="439"/>
      <c r="Q11" s="439"/>
      <c r="R11" s="104"/>
      <c r="S11" s="93"/>
      <c r="T11" s="94"/>
      <c r="U11" s="95"/>
      <c r="V11" s="96"/>
      <c r="W11" s="97"/>
      <c r="X11" s="98"/>
      <c r="Y11" s="98"/>
      <c r="Z11" s="99"/>
      <c r="AA11" s="106"/>
      <c r="AB11" s="101"/>
      <c r="AC11" s="102"/>
      <c r="AD11" s="103"/>
      <c r="AE11" s="103"/>
      <c r="AF11" s="103"/>
    </row>
    <row r="12" spans="1:32" ht="18.75" customHeight="1">
      <c r="A12" s="431"/>
      <c r="B12" s="432"/>
      <c r="C12" s="432"/>
      <c r="D12" s="433"/>
      <c r="E12" s="436"/>
      <c r="F12" s="493"/>
      <c r="G12" s="91">
        <v>1</v>
      </c>
      <c r="H12" s="432" t="s">
        <v>177</v>
      </c>
      <c r="I12" s="494"/>
      <c r="J12" s="494"/>
      <c r="K12" s="494"/>
      <c r="L12" s="494"/>
      <c r="M12" s="495"/>
      <c r="N12" s="431"/>
      <c r="O12" s="437"/>
      <c r="P12" s="437"/>
      <c r="Q12" s="437"/>
      <c r="R12" s="108"/>
      <c r="S12" s="93"/>
      <c r="T12" s="94"/>
      <c r="U12" s="95"/>
      <c r="V12" s="96"/>
      <c r="W12" s="97"/>
      <c r="X12" s="98"/>
      <c r="Y12" s="98"/>
      <c r="Z12" s="99"/>
      <c r="AA12" s="106"/>
      <c r="AB12" s="101"/>
      <c r="AC12" s="107"/>
      <c r="AD12" s="103"/>
      <c r="AE12" s="103"/>
      <c r="AF12" s="103"/>
    </row>
    <row r="13" spans="1:32" ht="18.75" customHeight="1">
      <c r="A13" s="431"/>
      <c r="B13" s="432"/>
      <c r="C13" s="432"/>
      <c r="D13" s="433"/>
      <c r="E13" s="434"/>
      <c r="F13" s="492"/>
      <c r="G13" s="91">
        <v>2</v>
      </c>
      <c r="H13" s="432" t="s">
        <v>191</v>
      </c>
      <c r="I13" s="483"/>
      <c r="J13" s="483"/>
      <c r="K13" s="483"/>
      <c r="L13" s="483"/>
      <c r="M13" s="484"/>
      <c r="N13" s="485"/>
      <c r="O13" s="486"/>
      <c r="P13" s="486"/>
      <c r="Q13" s="486"/>
      <c r="R13" s="104"/>
      <c r="S13" s="93"/>
      <c r="T13" s="94"/>
      <c r="U13" s="95"/>
      <c r="V13" s="96"/>
      <c r="W13" s="97"/>
      <c r="X13" s="98"/>
      <c r="Y13" s="98"/>
      <c r="Z13" s="99"/>
      <c r="AA13" s="106"/>
      <c r="AB13" s="101"/>
      <c r="AC13" s="107"/>
      <c r="AD13" s="103"/>
      <c r="AE13" s="103"/>
      <c r="AF13" s="103"/>
    </row>
    <row r="14" spans="1:32" ht="18.75" customHeight="1">
      <c r="A14" s="431"/>
      <c r="B14" s="432"/>
      <c r="C14" s="432"/>
      <c r="D14" s="433"/>
      <c r="E14" s="434"/>
      <c r="F14" s="492"/>
      <c r="G14" s="91"/>
      <c r="H14" s="432"/>
      <c r="I14" s="483"/>
      <c r="J14" s="483"/>
      <c r="K14" s="483"/>
      <c r="L14" s="483"/>
      <c r="M14" s="484"/>
      <c r="N14" s="485"/>
      <c r="O14" s="486"/>
      <c r="P14" s="486"/>
      <c r="Q14" s="486"/>
      <c r="R14" s="104"/>
      <c r="S14" s="93"/>
      <c r="T14" s="94"/>
      <c r="U14" s="95"/>
      <c r="V14" s="96"/>
      <c r="W14" s="97"/>
      <c r="X14" s="98"/>
      <c r="Y14" s="98"/>
      <c r="Z14" s="99"/>
      <c r="AA14" s="106"/>
      <c r="AB14" s="101"/>
      <c r="AC14" s="107"/>
      <c r="AD14" s="103"/>
      <c r="AE14" s="103"/>
      <c r="AF14" s="103"/>
    </row>
    <row r="15" spans="1:32" ht="18.75" customHeight="1">
      <c r="A15" s="431"/>
      <c r="B15" s="432"/>
      <c r="C15" s="432"/>
      <c r="D15" s="433"/>
      <c r="E15" s="434"/>
      <c r="F15" s="492"/>
      <c r="G15" s="91"/>
      <c r="H15" s="432"/>
      <c r="I15" s="483"/>
      <c r="J15" s="483"/>
      <c r="K15" s="483"/>
      <c r="L15" s="483"/>
      <c r="M15" s="484"/>
      <c r="N15" s="485"/>
      <c r="O15" s="486"/>
      <c r="P15" s="486"/>
      <c r="Q15" s="486"/>
      <c r="R15" s="104"/>
      <c r="S15" s="93"/>
      <c r="T15" s="94"/>
      <c r="U15" s="95"/>
      <c r="V15" s="96"/>
      <c r="W15" s="97"/>
      <c r="X15" s="94"/>
      <c r="Y15" s="94"/>
      <c r="Z15" s="99"/>
      <c r="AA15" s="106"/>
      <c r="AB15" s="101"/>
      <c r="AC15" s="107"/>
      <c r="AD15" s="103"/>
      <c r="AE15" s="103"/>
      <c r="AF15" s="103"/>
    </row>
    <row r="16" spans="1:32" ht="18.75" customHeight="1">
      <c r="A16" s="431"/>
      <c r="B16" s="432"/>
      <c r="C16" s="432"/>
      <c r="D16" s="433"/>
      <c r="E16" s="434"/>
      <c r="F16" s="492"/>
      <c r="G16" s="91"/>
      <c r="H16" s="432"/>
      <c r="I16" s="483"/>
      <c r="J16" s="483"/>
      <c r="K16" s="483"/>
      <c r="L16" s="483"/>
      <c r="M16" s="484"/>
      <c r="N16" s="485"/>
      <c r="O16" s="486"/>
      <c r="P16" s="486"/>
      <c r="Q16" s="486"/>
      <c r="R16" s="104"/>
      <c r="S16" s="93"/>
      <c r="T16" s="94"/>
      <c r="U16" s="95"/>
      <c r="V16" s="96"/>
      <c r="W16" s="97"/>
      <c r="X16" s="94"/>
      <c r="Y16" s="94"/>
      <c r="Z16" s="99"/>
      <c r="AA16" s="106"/>
      <c r="AB16" s="101"/>
      <c r="AC16" s="107"/>
      <c r="AD16" s="103"/>
      <c r="AE16" s="103"/>
      <c r="AF16" s="103"/>
    </row>
    <row r="17" spans="1:32" ht="18.75" customHeight="1">
      <c r="A17" s="431"/>
      <c r="B17" s="432"/>
      <c r="C17" s="432"/>
      <c r="D17" s="433"/>
      <c r="E17" s="434"/>
      <c r="F17" s="492"/>
      <c r="G17" s="91"/>
      <c r="H17" s="432"/>
      <c r="I17" s="483"/>
      <c r="J17" s="483"/>
      <c r="K17" s="483"/>
      <c r="L17" s="483"/>
      <c r="M17" s="484"/>
      <c r="N17" s="485"/>
      <c r="O17" s="486"/>
      <c r="P17" s="486"/>
      <c r="Q17" s="486"/>
      <c r="R17" s="104"/>
      <c r="S17" s="93"/>
      <c r="T17" s="94"/>
      <c r="U17" s="109"/>
      <c r="V17" s="96"/>
      <c r="W17" s="97"/>
      <c r="X17" s="94"/>
      <c r="Y17" s="94"/>
      <c r="Z17" s="99"/>
      <c r="AA17" s="106"/>
      <c r="AB17" s="101"/>
      <c r="AC17" s="107"/>
      <c r="AD17" s="103"/>
      <c r="AE17" s="103"/>
      <c r="AF17" s="103"/>
    </row>
    <row r="18" spans="1:32" ht="18.75" customHeight="1">
      <c r="A18" s="431"/>
      <c r="B18" s="432"/>
      <c r="C18" s="432"/>
      <c r="D18" s="433"/>
      <c r="E18" s="434"/>
      <c r="F18" s="492"/>
      <c r="G18" s="91"/>
      <c r="H18" s="432"/>
      <c r="I18" s="483"/>
      <c r="J18" s="483"/>
      <c r="K18" s="483"/>
      <c r="L18" s="483"/>
      <c r="M18" s="484"/>
      <c r="N18" s="485"/>
      <c r="O18" s="486"/>
      <c r="P18" s="486"/>
      <c r="Q18" s="486"/>
      <c r="R18" s="104"/>
      <c r="S18" s="93"/>
      <c r="T18" s="94"/>
      <c r="U18" s="109"/>
      <c r="V18" s="96"/>
      <c r="W18" s="97"/>
      <c r="X18" s="94"/>
      <c r="Y18" s="94"/>
      <c r="Z18" s="99"/>
      <c r="AA18" s="106"/>
      <c r="AB18" s="101"/>
      <c r="AC18" s="107"/>
      <c r="AD18" s="103"/>
      <c r="AE18" s="103"/>
      <c r="AF18" s="103"/>
    </row>
    <row r="19" spans="1:32" ht="27.75" customHeight="1">
      <c r="A19" s="431"/>
      <c r="B19" s="432"/>
      <c r="C19" s="432"/>
      <c r="D19" s="433"/>
      <c r="E19" s="434"/>
      <c r="F19" s="492"/>
      <c r="G19" s="91"/>
      <c r="H19" s="432"/>
      <c r="I19" s="483"/>
      <c r="J19" s="483"/>
      <c r="K19" s="483"/>
      <c r="L19" s="483"/>
      <c r="M19" s="484"/>
      <c r="N19" s="485"/>
      <c r="O19" s="486"/>
      <c r="P19" s="486"/>
      <c r="Q19" s="486"/>
      <c r="R19" s="104"/>
      <c r="S19" s="93"/>
      <c r="T19" s="94"/>
      <c r="U19" s="109"/>
      <c r="V19" s="96"/>
      <c r="W19" s="97"/>
      <c r="X19" s="94"/>
      <c r="Y19" s="94"/>
      <c r="Z19" s="99"/>
      <c r="AA19" s="106"/>
      <c r="AB19" s="101"/>
      <c r="AC19" s="107"/>
      <c r="AD19" s="103"/>
      <c r="AE19" s="103"/>
      <c r="AF19" s="103"/>
    </row>
    <row r="20" spans="1:32" ht="18.75" customHeight="1">
      <c r="A20" s="431"/>
      <c r="B20" s="432"/>
      <c r="C20" s="432"/>
      <c r="D20" s="433"/>
      <c r="E20" s="434"/>
      <c r="F20" s="435"/>
      <c r="G20" s="91"/>
      <c r="H20" s="432"/>
      <c r="I20" s="483"/>
      <c r="J20" s="483"/>
      <c r="K20" s="483"/>
      <c r="L20" s="483"/>
      <c r="M20" s="484"/>
      <c r="N20" s="485"/>
      <c r="O20" s="486"/>
      <c r="P20" s="486"/>
      <c r="Q20" s="486"/>
      <c r="R20" s="104"/>
      <c r="S20" s="93"/>
      <c r="T20" s="94"/>
      <c r="U20" s="95"/>
      <c r="V20" s="96"/>
      <c r="W20" s="97"/>
      <c r="X20" s="94"/>
      <c r="Y20" s="94"/>
      <c r="Z20" s="99"/>
      <c r="AA20" s="106"/>
      <c r="AB20" s="101"/>
      <c r="AC20" s="107"/>
      <c r="AD20" s="103"/>
      <c r="AE20" s="103"/>
      <c r="AF20" s="103"/>
    </row>
    <row r="21" spans="1:32" ht="18.75" customHeight="1" thickBot="1">
      <c r="A21" s="487"/>
      <c r="B21" s="488"/>
      <c r="C21" s="488"/>
      <c r="D21" s="489"/>
      <c r="E21" s="434"/>
      <c r="F21" s="435"/>
      <c r="G21" s="110"/>
      <c r="H21" s="488"/>
      <c r="I21" s="490"/>
      <c r="J21" s="490"/>
      <c r="K21" s="490"/>
      <c r="L21" s="490"/>
      <c r="M21" s="491"/>
      <c r="N21" s="485"/>
      <c r="O21" s="486"/>
      <c r="P21" s="486"/>
      <c r="Q21" s="486"/>
      <c r="R21" s="104"/>
      <c r="S21" s="93"/>
      <c r="T21" s="94"/>
      <c r="U21" s="109"/>
      <c r="V21" s="96"/>
      <c r="W21" s="97"/>
      <c r="X21" s="94"/>
      <c r="Y21" s="94"/>
      <c r="Z21" s="99"/>
      <c r="AA21" s="106"/>
      <c r="AB21" s="101"/>
      <c r="AC21" s="107"/>
      <c r="AD21" s="103"/>
      <c r="AE21" s="103"/>
      <c r="AF21" s="103"/>
    </row>
    <row r="22" spans="1:32" ht="25.5" customHeight="1" thickBot="1">
      <c r="A22" s="111"/>
      <c r="B22" s="112"/>
      <c r="C22" s="112"/>
      <c r="D22" s="112"/>
      <c r="E22" s="112"/>
      <c r="F22" s="112"/>
      <c r="G22" s="112"/>
      <c r="H22" s="112"/>
      <c r="I22" s="112"/>
      <c r="J22" s="112"/>
      <c r="K22" s="113"/>
      <c r="L22" s="114"/>
      <c r="M22" s="114"/>
      <c r="N22" s="422" t="s">
        <v>47</v>
      </c>
      <c r="O22" s="423"/>
      <c r="P22" s="423"/>
      <c r="Q22" s="424"/>
      <c r="R22" s="425" t="s">
        <v>64</v>
      </c>
      <c r="S22" s="424"/>
      <c r="T22" s="424"/>
      <c r="U22" s="424"/>
      <c r="V22" s="424"/>
      <c r="W22" s="424"/>
      <c r="X22" s="424"/>
      <c r="Y22" s="424"/>
      <c r="Z22" s="424"/>
      <c r="AA22" s="424"/>
      <c r="AB22" s="424"/>
      <c r="AC22" s="115">
        <f>ROUNDUP(SUM(AC6:AC21),5)</f>
        <v>86.60125</v>
      </c>
      <c r="AD22" s="103"/>
      <c r="AE22" s="103"/>
      <c r="AF22" s="103"/>
    </row>
    <row r="23" spans="1:32" ht="20.25" customHeight="1">
      <c r="A23" s="478" t="s">
        <v>45</v>
      </c>
      <c r="B23" s="479"/>
      <c r="C23" s="479"/>
      <c r="D23" s="479"/>
      <c r="E23" s="479"/>
      <c r="F23" s="479"/>
      <c r="G23" s="479"/>
      <c r="H23" s="479"/>
      <c r="I23" s="479"/>
      <c r="J23" s="479"/>
      <c r="K23" s="480"/>
      <c r="L23" s="116"/>
      <c r="M23" s="116"/>
      <c r="N23" s="407"/>
      <c r="O23" s="408"/>
      <c r="P23" s="408"/>
      <c r="Q23" s="408"/>
      <c r="R23" s="134"/>
      <c r="S23" s="134"/>
      <c r="T23" s="134"/>
      <c r="U23" s="134"/>
      <c r="V23" s="134"/>
      <c r="W23" s="135" t="s">
        <v>9</v>
      </c>
      <c r="X23" s="135"/>
      <c r="Y23" s="135"/>
      <c r="Z23" s="135"/>
      <c r="AA23" s="135"/>
      <c r="AB23" s="135"/>
      <c r="AC23" s="117">
        <f>ROUND(AC22*10/100,5)</f>
        <v>8.66013</v>
      </c>
      <c r="AD23" s="103"/>
      <c r="AE23" s="103"/>
      <c r="AF23" s="103"/>
    </row>
    <row r="24" spans="1:32" ht="22.5" customHeight="1" thickBot="1">
      <c r="A24" s="409" t="s">
        <v>42</v>
      </c>
      <c r="B24" s="481"/>
      <c r="C24" s="481"/>
      <c r="D24" s="481"/>
      <c r="E24" s="481"/>
      <c r="F24" s="118"/>
      <c r="G24" s="411" t="s">
        <v>46</v>
      </c>
      <c r="H24" s="411"/>
      <c r="I24" s="411" t="s">
        <v>70</v>
      </c>
      <c r="J24" s="481"/>
      <c r="K24" s="482"/>
      <c r="L24" s="118"/>
      <c r="M24" s="118"/>
      <c r="N24" s="136"/>
      <c r="O24" s="137"/>
      <c r="P24" s="413"/>
      <c r="Q24" s="413"/>
      <c r="R24" s="138"/>
      <c r="S24" s="138"/>
      <c r="T24" s="138"/>
      <c r="U24" s="138"/>
      <c r="V24" s="138"/>
      <c r="W24" s="139" t="s">
        <v>6</v>
      </c>
      <c r="X24" s="139"/>
      <c r="Y24" s="139"/>
      <c r="Z24" s="139"/>
      <c r="AA24" s="139"/>
      <c r="AB24" s="139"/>
      <c r="AC24" s="120">
        <f>AC22+AC23</f>
        <v>95.26137999999999</v>
      </c>
      <c r="AD24" s="103"/>
      <c r="AE24" s="103"/>
      <c r="AF24" s="103"/>
    </row>
    <row r="25" spans="18:32" ht="7.5" customHeight="1" thickBot="1">
      <c r="R25" s="399"/>
      <c r="S25" s="399"/>
      <c r="T25" s="69"/>
      <c r="U25" s="69"/>
      <c r="V25" s="69"/>
      <c r="W25" s="69"/>
      <c r="X25" s="69"/>
      <c r="Y25" s="69"/>
      <c r="Z25" s="69"/>
      <c r="AA25" s="72"/>
      <c r="AB25" s="72"/>
      <c r="AC25" s="72"/>
      <c r="AD25" s="70"/>
      <c r="AE25" s="70"/>
      <c r="AF25" s="70"/>
    </row>
    <row r="26" spans="1:32" ht="20.25" customHeight="1">
      <c r="A26" s="67" t="s">
        <v>35</v>
      </c>
      <c r="B26" s="393" t="s">
        <v>36</v>
      </c>
      <c r="C26" s="393"/>
      <c r="D26" s="63" t="s">
        <v>37</v>
      </c>
      <c r="E26" s="63" t="s">
        <v>38</v>
      </c>
      <c r="F26" s="63" t="s">
        <v>39</v>
      </c>
      <c r="G26" s="393" t="s">
        <v>40</v>
      </c>
      <c r="H26" s="393"/>
      <c r="I26" s="393" t="s">
        <v>162</v>
      </c>
      <c r="J26" s="393"/>
      <c r="K26" s="393" t="s">
        <v>52</v>
      </c>
      <c r="L26" s="393"/>
      <c r="M26" s="327" t="s">
        <v>135</v>
      </c>
      <c r="N26" s="401" t="s">
        <v>5</v>
      </c>
      <c r="O26" s="401"/>
      <c r="P26" s="401"/>
      <c r="Q26" s="140"/>
      <c r="R26" s="401"/>
      <c r="S26" s="477"/>
      <c r="T26" s="141"/>
      <c r="U26" s="141"/>
      <c r="V26" s="141"/>
      <c r="W26" s="391" t="s">
        <v>68</v>
      </c>
      <c r="X26" s="392"/>
      <c r="Y26" s="392"/>
      <c r="Z26" s="392"/>
      <c r="AA26" s="142"/>
      <c r="AB26" s="142"/>
      <c r="AC26" s="121">
        <f>AC24/150</f>
        <v>0.6350758666666666</v>
      </c>
      <c r="AD26" s="122"/>
      <c r="AE26" s="122"/>
      <c r="AF26" s="122"/>
    </row>
    <row r="27" spans="1:32" ht="37.5" customHeight="1">
      <c r="A27" s="331" t="s">
        <v>512</v>
      </c>
      <c r="B27" s="393" t="s">
        <v>500</v>
      </c>
      <c r="C27" s="393"/>
      <c r="D27" s="63" t="s">
        <v>501</v>
      </c>
      <c r="E27" s="63" t="s">
        <v>502</v>
      </c>
      <c r="F27" s="63" t="s">
        <v>503</v>
      </c>
      <c r="G27" s="393" t="s">
        <v>504</v>
      </c>
      <c r="H27" s="393"/>
      <c r="I27" s="393" t="s">
        <v>505</v>
      </c>
      <c r="J27" s="393"/>
      <c r="K27" s="393"/>
      <c r="L27" s="393"/>
      <c r="M27" s="235">
        <f ca="1">NOW()</f>
        <v>41359.56477372685</v>
      </c>
      <c r="N27" s="79" t="s">
        <v>19</v>
      </c>
      <c r="O27" s="80" t="s">
        <v>20</v>
      </c>
      <c r="P27" s="80" t="s">
        <v>21</v>
      </c>
      <c r="Q27" s="80" t="s">
        <v>22</v>
      </c>
      <c r="R27" s="473" t="s">
        <v>8</v>
      </c>
      <c r="S27" s="474"/>
      <c r="T27" s="143"/>
      <c r="U27" s="143"/>
      <c r="V27" s="143"/>
      <c r="W27" s="397" t="s">
        <v>69</v>
      </c>
      <c r="X27" s="398"/>
      <c r="Y27" s="144"/>
      <c r="Z27" s="144"/>
      <c r="AA27" s="144" t="s">
        <v>23</v>
      </c>
      <c r="AB27" s="475" t="s">
        <v>24</v>
      </c>
      <c r="AC27" s="476"/>
      <c r="AD27" s="122"/>
      <c r="AE27" s="122"/>
      <c r="AF27" s="122"/>
    </row>
    <row r="28" spans="14:29" ht="19.5" customHeight="1" thickBot="1">
      <c r="N28" s="123">
        <v>1</v>
      </c>
      <c r="O28" s="124"/>
      <c r="P28" s="125">
        <f>AC24</f>
        <v>95.26137999999999</v>
      </c>
      <c r="Q28" s="126">
        <v>0</v>
      </c>
      <c r="R28" s="387">
        <f>P28+Q28</f>
        <v>95.26137999999999</v>
      </c>
      <c r="S28" s="388"/>
      <c r="T28" s="127"/>
      <c r="U28" s="128"/>
      <c r="V28" s="128"/>
      <c r="W28" s="119"/>
      <c r="X28" s="129">
        <f>AC26/AA28</f>
        <v>2.1169195555555556</v>
      </c>
      <c r="Y28" s="129"/>
      <c r="Z28" s="129"/>
      <c r="AA28" s="130">
        <v>0.3</v>
      </c>
      <c r="AB28" s="389">
        <f ca="1">NOW()</f>
        <v>41359.56477372685</v>
      </c>
      <c r="AC28" s="390"/>
    </row>
  </sheetData>
  <sheetProtection/>
  <mergeCells count="103">
    <mergeCell ref="X5:Y5"/>
    <mergeCell ref="W26:Z26"/>
    <mergeCell ref="W27:X27"/>
    <mergeCell ref="A1:K1"/>
    <mergeCell ref="N1:AC1"/>
    <mergeCell ref="A2:B2"/>
    <mergeCell ref="C2:G2"/>
    <mergeCell ref="N2:O2"/>
    <mergeCell ref="P2:T2"/>
    <mergeCell ref="B3:G4"/>
    <mergeCell ref="P3:V4"/>
    <mergeCell ref="A5:D5"/>
    <mergeCell ref="E5:F5"/>
    <mergeCell ref="G5:M5"/>
    <mergeCell ref="N5:Q5"/>
    <mergeCell ref="H3:K3"/>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R28:S28"/>
    <mergeCell ref="AB28:AC28"/>
    <mergeCell ref="B27:C27"/>
    <mergeCell ref="G27:H27"/>
    <mergeCell ref="I27:J27"/>
    <mergeCell ref="K27:L27"/>
    <mergeCell ref="R27:S27"/>
    <mergeCell ref="AB27:AC27"/>
  </mergeCells>
  <hyperlinks>
    <hyperlink ref="M1" location="'Menu List'!A1" display="BACK TO THE MENU LIST"/>
    <hyperlink ref="A6:D6" location="'Roasted Beef Tenderloin'!A1" display="Beef Tenderloin, Roasted, Sliced -- See Recipe"/>
    <hyperlink ref="A7:D7" location="'Carmalized Red Onions'!A1" display="Caramelized Red Onions --  See Recipe"/>
  </hyperlinks>
  <printOptions/>
  <pageMargins left="0.45" right="0.2" top="0.75" bottom="0.25" header="0.3" footer="0.3"/>
  <pageSetup horizontalDpi="1200" verticalDpi="1200" orientation="landscape" scale="83"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269" customWidth="1"/>
    <col min="2" max="3" width="9.140625" style="269" customWidth="1"/>
    <col min="4" max="4" width="11.00390625" style="269" customWidth="1"/>
    <col min="5" max="5" width="9.140625" style="269" customWidth="1"/>
    <col min="6" max="6" width="11.28125" style="269" customWidth="1"/>
    <col min="7" max="7" width="4.8515625" style="269" customWidth="1"/>
    <col min="8" max="8" width="8.57421875" style="269" customWidth="1"/>
    <col min="9" max="9" width="9.8515625" style="269" customWidth="1"/>
    <col min="10" max="10" width="8.57421875" style="269" customWidth="1"/>
    <col min="11" max="12" width="13.7109375" style="269" customWidth="1"/>
    <col min="13" max="13" width="38.8515625" style="269" customWidth="1"/>
    <col min="14" max="16" width="9.140625" style="269" customWidth="1"/>
    <col min="17" max="17" width="8.8515625" style="269" customWidth="1"/>
    <col min="18" max="18" width="9.421875" style="269" customWidth="1"/>
    <col min="19" max="19" width="8.28125" style="269" customWidth="1"/>
    <col min="20" max="20" width="10.421875" style="269" customWidth="1"/>
    <col min="21" max="21" width="8.8515625" style="269" customWidth="1"/>
    <col min="22" max="22" width="9.8515625" style="269" customWidth="1"/>
    <col min="23" max="23" width="11.140625" style="269" customWidth="1"/>
    <col min="24" max="24" width="11.28125" style="269" customWidth="1"/>
    <col min="25" max="25" width="5.7109375" style="269" customWidth="1"/>
    <col min="26" max="26" width="11.421875" style="269" customWidth="1"/>
    <col min="27" max="28" width="9.140625" style="269" customWidth="1"/>
    <col min="29" max="29" width="11.57421875" style="269" customWidth="1"/>
    <col min="30" max="32" width="9.00390625" style="269" customWidth="1"/>
    <col min="33" max="16384" width="9.140625" style="269"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63"/>
      <c r="AE1" s="263"/>
      <c r="AF1" s="263"/>
      <c r="AG1" s="70"/>
      <c r="AH1" s="70"/>
    </row>
    <row r="2" spans="1:34" ht="47.25" customHeight="1" thickBot="1">
      <c r="A2" s="450" t="s">
        <v>44</v>
      </c>
      <c r="B2" s="450"/>
      <c r="C2" s="469" t="s">
        <v>178</v>
      </c>
      <c r="D2" s="469"/>
      <c r="E2" s="469"/>
      <c r="F2" s="469"/>
      <c r="G2" s="469"/>
      <c r="H2" s="267" t="s">
        <v>55</v>
      </c>
      <c r="I2" s="73">
        <v>150</v>
      </c>
      <c r="J2" s="267" t="s">
        <v>48</v>
      </c>
      <c r="K2" s="74" t="s">
        <v>59</v>
      </c>
      <c r="L2" s="75" t="s">
        <v>60</v>
      </c>
      <c r="M2" s="76"/>
      <c r="N2" s="470" t="s">
        <v>17</v>
      </c>
      <c r="O2" s="470"/>
      <c r="P2" s="471" t="str">
        <f>C2</f>
        <v>Roasted Beef Tenderloin for Carpoccio</v>
      </c>
      <c r="Q2" s="471"/>
      <c r="R2" s="471"/>
      <c r="S2" s="471"/>
      <c r="T2" s="472"/>
      <c r="U2" s="77"/>
      <c r="V2" s="77"/>
      <c r="W2" s="267" t="s">
        <v>55</v>
      </c>
      <c r="X2" s="78">
        <f>I2</f>
        <v>150</v>
      </c>
      <c r="Y2" s="79"/>
      <c r="Z2" s="80" t="s">
        <v>53</v>
      </c>
      <c r="AA2" s="81" t="str">
        <f>K2</f>
        <v>1 ounce </v>
      </c>
      <c r="AB2" s="82" t="str">
        <f>L2</f>
        <v>per serving</v>
      </c>
      <c r="AC2" s="83"/>
      <c r="AD2" s="84"/>
      <c r="AE2" s="84"/>
      <c r="AF2" s="84"/>
      <c r="AG2" s="83"/>
      <c r="AH2" s="83"/>
    </row>
    <row r="3" spans="1:34" ht="19.5" customHeight="1">
      <c r="A3" s="259"/>
      <c r="B3" s="450"/>
      <c r="C3" s="506"/>
      <c r="D3" s="506"/>
      <c r="E3" s="506"/>
      <c r="F3" s="506"/>
      <c r="G3" s="506"/>
      <c r="H3" s="508"/>
      <c r="I3" s="506"/>
      <c r="J3" s="506"/>
      <c r="K3" s="506"/>
      <c r="L3" s="85"/>
      <c r="M3" s="86"/>
      <c r="N3" s="267"/>
      <c r="O3" s="267"/>
      <c r="P3" s="505">
        <f>C3</f>
        <v>0</v>
      </c>
      <c r="Q3" s="506"/>
      <c r="R3" s="506"/>
      <c r="S3" s="506"/>
      <c r="T3" s="506"/>
      <c r="U3" s="506"/>
      <c r="V3" s="506"/>
      <c r="W3" s="267"/>
      <c r="X3" s="79">
        <f>H3</f>
        <v>0</v>
      </c>
      <c r="Y3" s="79"/>
      <c r="Z3" s="80"/>
      <c r="AA3" s="81"/>
      <c r="AB3" s="87"/>
      <c r="AC3" s="83"/>
      <c r="AD3" s="84"/>
      <c r="AE3" s="84"/>
      <c r="AF3" s="84"/>
      <c r="AG3" s="83"/>
      <c r="AH3" s="83"/>
    </row>
    <row r="4" spans="2:34" ht="15" customHeight="1" thickBot="1">
      <c r="B4" s="507"/>
      <c r="C4" s="507"/>
      <c r="D4" s="507"/>
      <c r="E4" s="507"/>
      <c r="F4" s="507"/>
      <c r="G4" s="507"/>
      <c r="H4" s="88"/>
      <c r="I4" s="88"/>
      <c r="N4" s="89"/>
      <c r="O4" s="89"/>
      <c r="P4" s="507"/>
      <c r="Q4" s="507"/>
      <c r="R4" s="507"/>
      <c r="S4" s="507"/>
      <c r="T4" s="507"/>
      <c r="U4" s="507"/>
      <c r="V4" s="507"/>
      <c r="W4" s="263"/>
      <c r="X4" s="83"/>
      <c r="Y4" s="83"/>
      <c r="Z4" s="83"/>
      <c r="AA4" s="83"/>
      <c r="AB4" s="83"/>
      <c r="AC4" s="83"/>
      <c r="AD4" s="90"/>
      <c r="AE4" s="90"/>
      <c r="AF4" s="90"/>
      <c r="AG4" s="83"/>
      <c r="AH4" s="83"/>
    </row>
    <row r="5" spans="1:32" ht="45.75" customHeight="1" thickBot="1">
      <c r="A5" s="455" t="s">
        <v>1</v>
      </c>
      <c r="B5" s="456"/>
      <c r="C5" s="456"/>
      <c r="D5" s="457"/>
      <c r="E5" s="458" t="s">
        <v>54</v>
      </c>
      <c r="F5" s="459"/>
      <c r="G5" s="458" t="s">
        <v>32</v>
      </c>
      <c r="H5" s="460"/>
      <c r="I5" s="460"/>
      <c r="J5" s="460"/>
      <c r="K5" s="460"/>
      <c r="L5" s="460"/>
      <c r="M5" s="459"/>
      <c r="N5" s="461" t="s">
        <v>1</v>
      </c>
      <c r="O5" s="462"/>
      <c r="P5" s="462"/>
      <c r="Q5" s="462"/>
      <c r="R5" s="261" t="s">
        <v>31</v>
      </c>
      <c r="S5" s="260" t="s">
        <v>2</v>
      </c>
      <c r="T5" s="261" t="s">
        <v>51</v>
      </c>
      <c r="U5" s="261" t="s">
        <v>30</v>
      </c>
      <c r="V5" s="261" t="s">
        <v>49</v>
      </c>
      <c r="W5" s="261" t="s">
        <v>57</v>
      </c>
      <c r="X5" s="442" t="s">
        <v>65</v>
      </c>
      <c r="Y5" s="442"/>
      <c r="Z5" s="261" t="s">
        <v>50</v>
      </c>
      <c r="AA5" s="261" t="s">
        <v>13</v>
      </c>
      <c r="AB5" s="261" t="s">
        <v>61</v>
      </c>
      <c r="AC5" s="133" t="s">
        <v>62</v>
      </c>
      <c r="AD5" s="263"/>
      <c r="AE5" s="263"/>
      <c r="AF5" s="263"/>
    </row>
    <row r="6" spans="1:32" ht="18.75" customHeight="1">
      <c r="A6" s="443" t="s">
        <v>179</v>
      </c>
      <c r="B6" s="444"/>
      <c r="C6" s="444"/>
      <c r="D6" s="445"/>
      <c r="E6" s="446" t="s">
        <v>164</v>
      </c>
      <c r="F6" s="447"/>
      <c r="G6" s="91">
        <v>1</v>
      </c>
      <c r="H6" s="444" t="s">
        <v>314</v>
      </c>
      <c r="I6" s="500"/>
      <c r="J6" s="500"/>
      <c r="K6" s="500"/>
      <c r="L6" s="500"/>
      <c r="M6" s="501"/>
      <c r="N6" s="485" t="str">
        <f>A6</f>
        <v>Beef Tenderloin, Raw, 5 lb each</v>
      </c>
      <c r="O6" s="486"/>
      <c r="P6" s="486"/>
      <c r="Q6" s="486"/>
      <c r="R6" s="108">
        <v>0.07</v>
      </c>
      <c r="S6" s="93" t="s">
        <v>80</v>
      </c>
      <c r="T6" s="94">
        <f>R6*X2</f>
        <v>10.500000000000002</v>
      </c>
      <c r="U6" s="95">
        <f>(X2*R6)/AA6</f>
        <v>12.000000000000002</v>
      </c>
      <c r="V6" s="96" t="s">
        <v>164</v>
      </c>
      <c r="W6" s="97">
        <v>48.7</v>
      </c>
      <c r="X6" s="98">
        <f>U6/1</f>
        <v>12.000000000000002</v>
      </c>
      <c r="Y6" s="98" t="s">
        <v>80</v>
      </c>
      <c r="Z6" s="99">
        <f>(W6/10)*X6</f>
        <v>58.44000000000001</v>
      </c>
      <c r="AA6" s="100">
        <v>0.875</v>
      </c>
      <c r="AB6" s="101">
        <f>Z6/X2</f>
        <v>0.38960000000000006</v>
      </c>
      <c r="AC6" s="102">
        <f>X2*AB6</f>
        <v>58.44000000000001</v>
      </c>
      <c r="AD6" s="103"/>
      <c r="AE6" s="103"/>
      <c r="AF6" s="103"/>
    </row>
    <row r="7" spans="1:32" ht="18.75" customHeight="1">
      <c r="A7" s="431" t="s">
        <v>180</v>
      </c>
      <c r="B7" s="432"/>
      <c r="C7" s="432"/>
      <c r="D7" s="433"/>
      <c r="E7" s="436" t="s">
        <v>181</v>
      </c>
      <c r="F7" s="435"/>
      <c r="G7" s="91">
        <v>2</v>
      </c>
      <c r="H7" s="432" t="s">
        <v>315</v>
      </c>
      <c r="I7" s="483"/>
      <c r="J7" s="483"/>
      <c r="K7" s="483"/>
      <c r="L7" s="483"/>
      <c r="M7" s="484"/>
      <c r="N7" s="485" t="str">
        <f>A7</f>
        <v>Steak Seasoning</v>
      </c>
      <c r="O7" s="486"/>
      <c r="P7" s="486"/>
      <c r="Q7" s="486"/>
      <c r="R7" s="108">
        <f>1.5/150</f>
        <v>0.01</v>
      </c>
      <c r="S7" s="93" t="s">
        <v>67</v>
      </c>
      <c r="T7" s="98">
        <f>X2*R7</f>
        <v>1.5</v>
      </c>
      <c r="U7" s="95">
        <f>(X2*R7)/AA7</f>
        <v>1.5</v>
      </c>
      <c r="V7" s="96" t="s">
        <v>182</v>
      </c>
      <c r="W7" s="97">
        <v>9.27</v>
      </c>
      <c r="X7" s="98">
        <f>(U7*8)/1</f>
        <v>12</v>
      </c>
      <c r="Y7" s="98" t="s">
        <v>217</v>
      </c>
      <c r="Z7" s="99">
        <f>(W7/29)*X7</f>
        <v>3.8358620689655174</v>
      </c>
      <c r="AA7" s="100">
        <v>1</v>
      </c>
      <c r="AB7" s="101">
        <f>Z7/X2</f>
        <v>0.02557241379310345</v>
      </c>
      <c r="AC7" s="102">
        <f>X2*AB7</f>
        <v>3.8358620689655174</v>
      </c>
      <c r="AD7" s="103"/>
      <c r="AE7" s="103"/>
      <c r="AF7" s="103"/>
    </row>
    <row r="8" spans="1:32" ht="30.75" customHeight="1">
      <c r="A8" s="431" t="s">
        <v>499</v>
      </c>
      <c r="B8" s="432"/>
      <c r="C8" s="432"/>
      <c r="D8" s="433"/>
      <c r="E8" s="434" t="s">
        <v>134</v>
      </c>
      <c r="F8" s="435"/>
      <c r="G8" s="91">
        <v>3</v>
      </c>
      <c r="H8" s="432" t="s">
        <v>513</v>
      </c>
      <c r="I8" s="483"/>
      <c r="J8" s="483"/>
      <c r="K8" s="483"/>
      <c r="L8" s="483"/>
      <c r="M8" s="484"/>
      <c r="N8" s="485" t="str">
        <f>A8</f>
        <v>Kitchen, Bouquest, Sauce Browning &amp; Seasoning  Liquid </v>
      </c>
      <c r="O8" s="486"/>
      <c r="P8" s="486"/>
      <c r="Q8" s="486"/>
      <c r="R8" s="104">
        <f>0.25/150</f>
        <v>0.0016666666666666668</v>
      </c>
      <c r="S8" s="93" t="s">
        <v>67</v>
      </c>
      <c r="T8" s="94">
        <f>X2*R8</f>
        <v>0.25</v>
      </c>
      <c r="U8" s="95">
        <f>(X2*R8)/AA8</f>
        <v>0.25</v>
      </c>
      <c r="V8" s="96" t="s">
        <v>166</v>
      </c>
      <c r="W8" s="97">
        <v>25.35</v>
      </c>
      <c r="X8" s="98">
        <f>(U8/16)/1</f>
        <v>0.015625</v>
      </c>
      <c r="Y8" s="98" t="s">
        <v>67</v>
      </c>
      <c r="Z8" s="99">
        <f>W8*X8</f>
        <v>0.39609375</v>
      </c>
      <c r="AA8" s="100">
        <v>1</v>
      </c>
      <c r="AB8" s="285">
        <f>Z8/X2</f>
        <v>0.002640625</v>
      </c>
      <c r="AC8" s="102">
        <f>X2*AB8</f>
        <v>0.39609375</v>
      </c>
      <c r="AD8" s="103"/>
      <c r="AE8" s="103"/>
      <c r="AF8" s="103"/>
    </row>
    <row r="9" spans="1:32" ht="18.75" customHeight="1">
      <c r="A9" s="431"/>
      <c r="B9" s="432"/>
      <c r="C9" s="432"/>
      <c r="D9" s="433"/>
      <c r="E9" s="436"/>
      <c r="F9" s="435"/>
      <c r="G9" s="91">
        <v>4</v>
      </c>
      <c r="H9" s="432" t="s">
        <v>316</v>
      </c>
      <c r="I9" s="483"/>
      <c r="J9" s="483"/>
      <c r="K9" s="483"/>
      <c r="L9" s="483"/>
      <c r="M9" s="484"/>
      <c r="N9" s="485">
        <f>A9</f>
        <v>0</v>
      </c>
      <c r="O9" s="486"/>
      <c r="P9" s="486"/>
      <c r="Q9" s="486"/>
      <c r="R9" s="104"/>
      <c r="S9" s="93"/>
      <c r="T9" s="94">
        <f>X2*R9</f>
        <v>0</v>
      </c>
      <c r="U9" s="95">
        <f>(X2*R9)/AA9</f>
        <v>0</v>
      </c>
      <c r="V9" s="96"/>
      <c r="W9" s="97">
        <v>0</v>
      </c>
      <c r="X9" s="98">
        <f>U9/1</f>
        <v>0</v>
      </c>
      <c r="Y9" s="98" t="s">
        <v>66</v>
      </c>
      <c r="Z9" s="99">
        <f>W9*X9</f>
        <v>0</v>
      </c>
      <c r="AA9" s="100">
        <v>1</v>
      </c>
      <c r="AB9" s="101">
        <f>Z9/X2</f>
        <v>0</v>
      </c>
      <c r="AC9" s="102">
        <f>X2*AB9</f>
        <v>0</v>
      </c>
      <c r="AD9" s="103"/>
      <c r="AE9" s="103"/>
      <c r="AF9" s="103"/>
    </row>
    <row r="10" spans="1:32" ht="18.75" customHeight="1">
      <c r="A10" s="431"/>
      <c r="B10" s="432"/>
      <c r="C10" s="432"/>
      <c r="D10" s="433"/>
      <c r="E10" s="436"/>
      <c r="F10" s="493"/>
      <c r="G10" s="91">
        <v>5</v>
      </c>
      <c r="H10" s="432" t="s">
        <v>317</v>
      </c>
      <c r="I10" s="494"/>
      <c r="J10" s="494"/>
      <c r="K10" s="494"/>
      <c r="L10" s="494"/>
      <c r="M10" s="495"/>
      <c r="N10" s="485"/>
      <c r="O10" s="486"/>
      <c r="P10" s="486"/>
      <c r="Q10" s="486"/>
      <c r="R10" s="105"/>
      <c r="S10" s="93"/>
      <c r="T10" s="94"/>
      <c r="U10" s="95"/>
      <c r="V10" s="96"/>
      <c r="W10" s="97"/>
      <c r="X10" s="98"/>
      <c r="Y10" s="98"/>
      <c r="Z10" s="99"/>
      <c r="AA10" s="106"/>
      <c r="AB10" s="101"/>
      <c r="AC10" s="107"/>
      <c r="AD10" s="103"/>
      <c r="AE10" s="103"/>
      <c r="AF10" s="103"/>
    </row>
    <row r="11" spans="1:32" ht="18.75" customHeight="1">
      <c r="A11" s="431"/>
      <c r="B11" s="432"/>
      <c r="C11" s="432"/>
      <c r="D11" s="433"/>
      <c r="E11" s="436"/>
      <c r="F11" s="493"/>
      <c r="G11" s="91"/>
      <c r="H11" s="432"/>
      <c r="I11" s="494"/>
      <c r="J11" s="494"/>
      <c r="K11" s="494"/>
      <c r="L11" s="494"/>
      <c r="M11" s="495"/>
      <c r="N11" s="496"/>
      <c r="O11" s="439"/>
      <c r="P11" s="439"/>
      <c r="Q11" s="439"/>
      <c r="R11" s="104"/>
      <c r="S11" s="93"/>
      <c r="T11" s="94"/>
      <c r="U11" s="95"/>
      <c r="V11" s="96"/>
      <c r="W11" s="97"/>
      <c r="X11" s="98"/>
      <c r="Y11" s="98"/>
      <c r="Z11" s="99"/>
      <c r="AA11" s="106"/>
      <c r="AB11" s="101"/>
      <c r="AC11" s="102"/>
      <c r="AD11" s="103"/>
      <c r="AE11" s="103"/>
      <c r="AF11" s="103"/>
    </row>
    <row r="12" spans="1:32" ht="18.75" customHeight="1">
      <c r="A12" s="431"/>
      <c r="B12" s="432"/>
      <c r="C12" s="432"/>
      <c r="D12" s="433"/>
      <c r="E12" s="436"/>
      <c r="F12" s="493"/>
      <c r="G12" s="91"/>
      <c r="H12" s="432"/>
      <c r="I12" s="494"/>
      <c r="J12" s="494"/>
      <c r="K12" s="494"/>
      <c r="L12" s="494"/>
      <c r="M12" s="495"/>
      <c r="N12" s="431"/>
      <c r="O12" s="437"/>
      <c r="P12" s="437"/>
      <c r="Q12" s="437"/>
      <c r="R12" s="108"/>
      <c r="S12" s="93"/>
      <c r="T12" s="94"/>
      <c r="U12" s="95"/>
      <c r="V12" s="96"/>
      <c r="W12" s="97"/>
      <c r="X12" s="98"/>
      <c r="Y12" s="98"/>
      <c r="Z12" s="99"/>
      <c r="AA12" s="106"/>
      <c r="AB12" s="101"/>
      <c r="AC12" s="107"/>
      <c r="AD12" s="103"/>
      <c r="AE12" s="103"/>
      <c r="AF12" s="103"/>
    </row>
    <row r="13" spans="1:32" ht="18.75" customHeight="1">
      <c r="A13" s="431"/>
      <c r="B13" s="432"/>
      <c r="C13" s="432"/>
      <c r="D13" s="433"/>
      <c r="E13" s="434"/>
      <c r="F13" s="492"/>
      <c r="G13" s="91"/>
      <c r="H13" s="432"/>
      <c r="I13" s="483"/>
      <c r="J13" s="483"/>
      <c r="K13" s="483"/>
      <c r="L13" s="483"/>
      <c r="M13" s="484"/>
      <c r="N13" s="485"/>
      <c r="O13" s="486"/>
      <c r="P13" s="486"/>
      <c r="Q13" s="486"/>
      <c r="R13" s="104"/>
      <c r="S13" s="93"/>
      <c r="T13" s="94"/>
      <c r="U13" s="95"/>
      <c r="V13" s="96"/>
      <c r="W13" s="97"/>
      <c r="X13" s="98"/>
      <c r="Y13" s="98"/>
      <c r="Z13" s="99"/>
      <c r="AA13" s="106"/>
      <c r="AB13" s="101"/>
      <c r="AC13" s="107"/>
      <c r="AD13" s="103"/>
      <c r="AE13" s="103"/>
      <c r="AF13" s="103"/>
    </row>
    <row r="14" spans="1:32" ht="18.75" customHeight="1">
      <c r="A14" s="431"/>
      <c r="B14" s="432"/>
      <c r="C14" s="432"/>
      <c r="D14" s="433"/>
      <c r="E14" s="434"/>
      <c r="F14" s="492"/>
      <c r="G14" s="91"/>
      <c r="H14" s="432"/>
      <c r="I14" s="483"/>
      <c r="J14" s="483"/>
      <c r="K14" s="483"/>
      <c r="L14" s="483"/>
      <c r="M14" s="484"/>
      <c r="N14" s="485"/>
      <c r="O14" s="486"/>
      <c r="P14" s="486"/>
      <c r="Q14" s="486"/>
      <c r="R14" s="104"/>
      <c r="S14" s="93"/>
      <c r="T14" s="94"/>
      <c r="U14" s="95"/>
      <c r="V14" s="96"/>
      <c r="W14" s="97"/>
      <c r="X14" s="98"/>
      <c r="Y14" s="98"/>
      <c r="Z14" s="99"/>
      <c r="AA14" s="106"/>
      <c r="AB14" s="101"/>
      <c r="AC14" s="107"/>
      <c r="AD14" s="103"/>
      <c r="AE14" s="103"/>
      <c r="AF14" s="103"/>
    </row>
    <row r="15" spans="1:32" ht="18.75" customHeight="1">
      <c r="A15" s="431"/>
      <c r="B15" s="432"/>
      <c r="C15" s="432"/>
      <c r="D15" s="433"/>
      <c r="E15" s="434"/>
      <c r="F15" s="492"/>
      <c r="G15" s="91"/>
      <c r="H15" s="432"/>
      <c r="I15" s="483"/>
      <c r="J15" s="483"/>
      <c r="K15" s="483"/>
      <c r="L15" s="483"/>
      <c r="M15" s="484"/>
      <c r="N15" s="485"/>
      <c r="O15" s="486"/>
      <c r="P15" s="486"/>
      <c r="Q15" s="486"/>
      <c r="R15" s="104"/>
      <c r="S15" s="93"/>
      <c r="T15" s="94"/>
      <c r="U15" s="95"/>
      <c r="V15" s="96"/>
      <c r="W15" s="97"/>
      <c r="X15" s="94"/>
      <c r="Y15" s="94"/>
      <c r="Z15" s="99"/>
      <c r="AA15" s="106"/>
      <c r="AB15" s="101"/>
      <c r="AC15" s="107"/>
      <c r="AD15" s="103"/>
      <c r="AE15" s="103"/>
      <c r="AF15" s="103"/>
    </row>
    <row r="16" spans="1:32" ht="18.75" customHeight="1">
      <c r="A16" s="431"/>
      <c r="B16" s="432"/>
      <c r="C16" s="432"/>
      <c r="D16" s="433"/>
      <c r="E16" s="434"/>
      <c r="F16" s="492"/>
      <c r="G16" s="91"/>
      <c r="H16" s="432"/>
      <c r="I16" s="483"/>
      <c r="J16" s="483"/>
      <c r="K16" s="483"/>
      <c r="L16" s="483"/>
      <c r="M16" s="484"/>
      <c r="N16" s="485"/>
      <c r="O16" s="486"/>
      <c r="P16" s="486"/>
      <c r="Q16" s="486"/>
      <c r="R16" s="104"/>
      <c r="S16" s="93"/>
      <c r="T16" s="94"/>
      <c r="U16" s="95"/>
      <c r="V16" s="96"/>
      <c r="W16" s="97"/>
      <c r="X16" s="94"/>
      <c r="Y16" s="94"/>
      <c r="Z16" s="99"/>
      <c r="AA16" s="106"/>
      <c r="AB16" s="101"/>
      <c r="AC16" s="107"/>
      <c r="AD16" s="103"/>
      <c r="AE16" s="103"/>
      <c r="AF16" s="103"/>
    </row>
    <row r="17" spans="1:32" ht="18.75" customHeight="1">
      <c r="A17" s="431"/>
      <c r="B17" s="432"/>
      <c r="C17" s="432"/>
      <c r="D17" s="433"/>
      <c r="E17" s="434"/>
      <c r="F17" s="492"/>
      <c r="G17" s="91"/>
      <c r="H17" s="432"/>
      <c r="I17" s="483"/>
      <c r="J17" s="483"/>
      <c r="K17" s="483"/>
      <c r="L17" s="483"/>
      <c r="M17" s="484"/>
      <c r="N17" s="485"/>
      <c r="O17" s="486"/>
      <c r="P17" s="486"/>
      <c r="Q17" s="486"/>
      <c r="R17" s="104"/>
      <c r="S17" s="93"/>
      <c r="T17" s="94"/>
      <c r="U17" s="95"/>
      <c r="V17" s="96"/>
      <c r="W17" s="97"/>
      <c r="X17" s="94"/>
      <c r="Y17" s="94"/>
      <c r="Z17" s="99"/>
      <c r="AA17" s="106"/>
      <c r="AB17" s="101"/>
      <c r="AC17" s="107"/>
      <c r="AD17" s="103"/>
      <c r="AE17" s="103"/>
      <c r="AF17" s="103"/>
    </row>
    <row r="18" spans="1:32" ht="18.75" customHeight="1">
      <c r="A18" s="431"/>
      <c r="B18" s="432"/>
      <c r="C18" s="432"/>
      <c r="D18" s="433"/>
      <c r="E18" s="434"/>
      <c r="F18" s="492"/>
      <c r="G18" s="91"/>
      <c r="H18" s="432"/>
      <c r="I18" s="483"/>
      <c r="J18" s="483"/>
      <c r="K18" s="483"/>
      <c r="L18" s="483"/>
      <c r="M18" s="484"/>
      <c r="N18" s="485"/>
      <c r="O18" s="486"/>
      <c r="P18" s="486"/>
      <c r="Q18" s="486"/>
      <c r="R18" s="104"/>
      <c r="S18" s="93"/>
      <c r="T18" s="94"/>
      <c r="U18" s="95"/>
      <c r="V18" s="96"/>
      <c r="W18" s="97"/>
      <c r="X18" s="94"/>
      <c r="Y18" s="94"/>
      <c r="Z18" s="99"/>
      <c r="AA18" s="106"/>
      <c r="AB18" s="101"/>
      <c r="AC18" s="107"/>
      <c r="AD18" s="103"/>
      <c r="AE18" s="103"/>
      <c r="AF18" s="103"/>
    </row>
    <row r="19" spans="1:32" ht="18.75" customHeight="1">
      <c r="A19" s="431"/>
      <c r="B19" s="432"/>
      <c r="C19" s="432"/>
      <c r="D19" s="433"/>
      <c r="E19" s="434"/>
      <c r="F19" s="492"/>
      <c r="G19" s="91"/>
      <c r="H19" s="432"/>
      <c r="I19" s="483"/>
      <c r="J19" s="483"/>
      <c r="K19" s="483"/>
      <c r="L19" s="483"/>
      <c r="M19" s="484"/>
      <c r="N19" s="485"/>
      <c r="O19" s="486"/>
      <c r="P19" s="486"/>
      <c r="Q19" s="486"/>
      <c r="R19" s="104"/>
      <c r="S19" s="93"/>
      <c r="T19" s="94"/>
      <c r="U19" s="109"/>
      <c r="V19" s="96"/>
      <c r="W19" s="97"/>
      <c r="X19" s="94"/>
      <c r="Y19" s="94"/>
      <c r="Z19" s="99"/>
      <c r="AA19" s="106"/>
      <c r="AB19" s="101"/>
      <c r="AC19" s="107"/>
      <c r="AD19" s="103"/>
      <c r="AE19" s="103"/>
      <c r="AF19" s="103"/>
    </row>
    <row r="20" spans="1:32" ht="18.75" customHeight="1">
      <c r="A20" s="431"/>
      <c r="B20" s="432"/>
      <c r="C20" s="432"/>
      <c r="D20" s="433"/>
      <c r="E20" s="434"/>
      <c r="F20" s="492"/>
      <c r="G20" s="91"/>
      <c r="H20" s="432"/>
      <c r="I20" s="483"/>
      <c r="J20" s="483"/>
      <c r="K20" s="483"/>
      <c r="L20" s="483"/>
      <c r="M20" s="484"/>
      <c r="N20" s="485"/>
      <c r="O20" s="486"/>
      <c r="P20" s="486"/>
      <c r="Q20" s="486"/>
      <c r="R20" s="104"/>
      <c r="S20" s="93"/>
      <c r="T20" s="94"/>
      <c r="U20" s="109"/>
      <c r="V20" s="96"/>
      <c r="W20" s="97"/>
      <c r="X20" s="94"/>
      <c r="Y20" s="94"/>
      <c r="Z20" s="99"/>
      <c r="AA20" s="106"/>
      <c r="AB20" s="101"/>
      <c r="AC20" s="107"/>
      <c r="AD20" s="103"/>
      <c r="AE20" s="103"/>
      <c r="AF20" s="103"/>
    </row>
    <row r="21" spans="1:32" ht="27.75" customHeight="1">
      <c r="A21" s="431"/>
      <c r="B21" s="432"/>
      <c r="C21" s="432"/>
      <c r="D21" s="433"/>
      <c r="E21" s="434"/>
      <c r="F21" s="492"/>
      <c r="G21" s="91"/>
      <c r="H21" s="432"/>
      <c r="I21" s="483"/>
      <c r="J21" s="483"/>
      <c r="K21" s="483"/>
      <c r="L21" s="483"/>
      <c r="M21" s="484"/>
      <c r="N21" s="485"/>
      <c r="O21" s="486"/>
      <c r="P21" s="486"/>
      <c r="Q21" s="486"/>
      <c r="R21" s="104"/>
      <c r="S21" s="93"/>
      <c r="T21" s="94"/>
      <c r="U21" s="109"/>
      <c r="V21" s="96"/>
      <c r="W21" s="97"/>
      <c r="X21" s="94"/>
      <c r="Y21" s="94"/>
      <c r="Z21" s="99"/>
      <c r="AA21" s="106"/>
      <c r="AB21" s="101"/>
      <c r="AC21" s="107"/>
      <c r="AD21" s="103"/>
      <c r="AE21" s="103"/>
      <c r="AF21" s="103"/>
    </row>
    <row r="22" spans="1:32" ht="18.75" customHeight="1">
      <c r="A22" s="431"/>
      <c r="B22" s="432"/>
      <c r="C22" s="432"/>
      <c r="D22" s="433"/>
      <c r="E22" s="434"/>
      <c r="F22" s="435"/>
      <c r="G22" s="91"/>
      <c r="H22" s="432"/>
      <c r="I22" s="483"/>
      <c r="J22" s="483"/>
      <c r="K22" s="483"/>
      <c r="L22" s="483"/>
      <c r="M22" s="484"/>
      <c r="N22" s="485"/>
      <c r="O22" s="486"/>
      <c r="P22" s="486"/>
      <c r="Q22" s="486"/>
      <c r="R22" s="104"/>
      <c r="S22" s="93"/>
      <c r="T22" s="94"/>
      <c r="U22" s="95"/>
      <c r="V22" s="96"/>
      <c r="W22" s="97"/>
      <c r="X22" s="94"/>
      <c r="Y22" s="94"/>
      <c r="Z22" s="99"/>
      <c r="AA22" s="106"/>
      <c r="AB22" s="101"/>
      <c r="AC22" s="107"/>
      <c r="AD22" s="103"/>
      <c r="AE22" s="103"/>
      <c r="AF22" s="103"/>
    </row>
    <row r="23" spans="1:32" ht="18.75" customHeight="1" thickBot="1">
      <c r="A23" s="487"/>
      <c r="B23" s="488"/>
      <c r="C23" s="488"/>
      <c r="D23" s="489"/>
      <c r="E23" s="434"/>
      <c r="F23" s="435"/>
      <c r="G23" s="110"/>
      <c r="H23" s="488"/>
      <c r="I23" s="490"/>
      <c r="J23" s="490"/>
      <c r="K23" s="490"/>
      <c r="L23" s="490"/>
      <c r="M23" s="491"/>
      <c r="N23" s="485"/>
      <c r="O23" s="486"/>
      <c r="P23" s="486"/>
      <c r="Q23" s="486"/>
      <c r="R23" s="104"/>
      <c r="S23" s="93"/>
      <c r="T23" s="94"/>
      <c r="U23" s="109"/>
      <c r="V23" s="96"/>
      <c r="W23" s="97"/>
      <c r="X23" s="94"/>
      <c r="Y23" s="94"/>
      <c r="Z23" s="99"/>
      <c r="AA23" s="106"/>
      <c r="AB23" s="101"/>
      <c r="AC23" s="107"/>
      <c r="AD23" s="103"/>
      <c r="AE23" s="103"/>
      <c r="AF23" s="103"/>
    </row>
    <row r="24" spans="1:32" ht="25.5" customHeight="1" thickBot="1">
      <c r="A24" s="111"/>
      <c r="B24" s="112"/>
      <c r="C24" s="112"/>
      <c r="D24" s="112"/>
      <c r="E24" s="112"/>
      <c r="F24" s="112"/>
      <c r="G24" s="112"/>
      <c r="H24" s="112"/>
      <c r="I24" s="112"/>
      <c r="J24" s="112"/>
      <c r="K24" s="113"/>
      <c r="L24" s="268"/>
      <c r="M24" s="268"/>
      <c r="N24" s="422" t="s">
        <v>47</v>
      </c>
      <c r="O24" s="423"/>
      <c r="P24" s="423"/>
      <c r="Q24" s="424"/>
      <c r="R24" s="425" t="s">
        <v>64</v>
      </c>
      <c r="S24" s="424"/>
      <c r="T24" s="424"/>
      <c r="U24" s="424"/>
      <c r="V24" s="424"/>
      <c r="W24" s="424"/>
      <c r="X24" s="424"/>
      <c r="Y24" s="424"/>
      <c r="Z24" s="424"/>
      <c r="AA24" s="424"/>
      <c r="AB24" s="424"/>
      <c r="AC24" s="115">
        <f>ROUNDUP(SUM(AC6:AC23),5)</f>
        <v>62.671960000000006</v>
      </c>
      <c r="AD24" s="103"/>
      <c r="AE24" s="103"/>
      <c r="AF24" s="103"/>
    </row>
    <row r="25" spans="1:32" ht="20.25" customHeight="1">
      <c r="A25" s="478" t="s">
        <v>45</v>
      </c>
      <c r="B25" s="479"/>
      <c r="C25" s="479"/>
      <c r="D25" s="479"/>
      <c r="E25" s="479"/>
      <c r="F25" s="479"/>
      <c r="G25" s="479"/>
      <c r="H25" s="479"/>
      <c r="I25" s="479"/>
      <c r="J25" s="479"/>
      <c r="K25" s="480"/>
      <c r="L25" s="271"/>
      <c r="M25" s="271"/>
      <c r="N25" s="407"/>
      <c r="O25" s="408"/>
      <c r="P25" s="408"/>
      <c r="Q25" s="408"/>
      <c r="R25" s="134"/>
      <c r="S25" s="134"/>
      <c r="T25" s="134"/>
      <c r="U25" s="134"/>
      <c r="V25" s="134"/>
      <c r="W25" s="135" t="s">
        <v>9</v>
      </c>
      <c r="X25" s="135"/>
      <c r="Y25" s="135"/>
      <c r="Z25" s="135"/>
      <c r="AA25" s="135"/>
      <c r="AB25" s="135"/>
      <c r="AC25" s="117">
        <f>ROUND(AC24*10/100,5)</f>
        <v>6.2672</v>
      </c>
      <c r="AD25" s="103"/>
      <c r="AE25" s="103"/>
      <c r="AF25" s="103"/>
    </row>
    <row r="26" spans="1:32" ht="22.5" customHeight="1" thickBot="1">
      <c r="A26" s="409" t="s">
        <v>42</v>
      </c>
      <c r="B26" s="481"/>
      <c r="C26" s="481"/>
      <c r="D26" s="481"/>
      <c r="E26" s="481"/>
      <c r="F26" s="270"/>
      <c r="G26" s="411" t="s">
        <v>46</v>
      </c>
      <c r="H26" s="411"/>
      <c r="I26" s="411" t="s">
        <v>70</v>
      </c>
      <c r="J26" s="481"/>
      <c r="K26" s="482"/>
      <c r="L26" s="270"/>
      <c r="M26" s="270"/>
      <c r="N26" s="136"/>
      <c r="O26" s="137"/>
      <c r="P26" s="413"/>
      <c r="Q26" s="413"/>
      <c r="R26" s="138"/>
      <c r="S26" s="138"/>
      <c r="T26" s="138"/>
      <c r="U26" s="138"/>
      <c r="V26" s="138"/>
      <c r="W26" s="139" t="s">
        <v>6</v>
      </c>
      <c r="X26" s="139"/>
      <c r="Y26" s="139"/>
      <c r="Z26" s="139"/>
      <c r="AA26" s="139"/>
      <c r="AB26" s="139"/>
      <c r="AC26" s="120">
        <f>AC24+AC25</f>
        <v>68.93916</v>
      </c>
      <c r="AD26" s="103"/>
      <c r="AE26" s="103"/>
      <c r="AF26" s="103"/>
    </row>
    <row r="27" spans="18:32" ht="7.5" customHeight="1" thickBot="1">
      <c r="R27" s="399"/>
      <c r="S27" s="399"/>
      <c r="T27" s="263"/>
      <c r="U27" s="263"/>
      <c r="V27" s="263"/>
      <c r="W27" s="263"/>
      <c r="X27" s="263"/>
      <c r="Y27" s="263"/>
      <c r="Z27" s="263"/>
      <c r="AA27" s="267"/>
      <c r="AB27" s="267"/>
      <c r="AC27" s="267"/>
      <c r="AD27" s="70"/>
      <c r="AE27" s="70"/>
      <c r="AF27" s="70"/>
    </row>
    <row r="28" spans="1:32" ht="20.25" customHeight="1">
      <c r="A28" s="328" t="s">
        <v>35</v>
      </c>
      <c r="B28" s="515" t="s">
        <v>36</v>
      </c>
      <c r="C28" s="515"/>
      <c r="D28" s="329" t="s">
        <v>37</v>
      </c>
      <c r="E28" s="329" t="s">
        <v>38</v>
      </c>
      <c r="F28" s="329" t="s">
        <v>39</v>
      </c>
      <c r="G28" s="515" t="s">
        <v>40</v>
      </c>
      <c r="H28" s="515"/>
      <c r="I28" s="515" t="s">
        <v>41</v>
      </c>
      <c r="J28" s="515"/>
      <c r="K28" s="515" t="s">
        <v>52</v>
      </c>
      <c r="L28" s="515"/>
      <c r="M28" s="330"/>
      <c r="N28" s="401" t="s">
        <v>5</v>
      </c>
      <c r="O28" s="401"/>
      <c r="P28" s="401"/>
      <c r="Q28" s="140"/>
      <c r="R28" s="401"/>
      <c r="S28" s="477"/>
      <c r="T28" s="265"/>
      <c r="U28" s="265"/>
      <c r="V28" s="265"/>
      <c r="W28" s="391" t="s">
        <v>68</v>
      </c>
      <c r="X28" s="392"/>
      <c r="Y28" s="392"/>
      <c r="Z28" s="392"/>
      <c r="AA28" s="262"/>
      <c r="AB28" s="262"/>
      <c r="AC28" s="121">
        <f>AC26/150</f>
        <v>0.4595944</v>
      </c>
      <c r="AD28" s="122"/>
      <c r="AE28" s="122"/>
      <c r="AF28" s="122"/>
    </row>
    <row r="29" spans="1:32" ht="37.5" customHeight="1">
      <c r="A29" s="512"/>
      <c r="B29" s="393"/>
      <c r="C29" s="514"/>
      <c r="D29" s="393"/>
      <c r="E29" s="393"/>
      <c r="F29" s="393"/>
      <c r="G29" s="393"/>
      <c r="H29" s="393"/>
      <c r="I29" s="393"/>
      <c r="J29" s="393"/>
      <c r="K29" s="393"/>
      <c r="L29" s="393"/>
      <c r="M29" s="510"/>
      <c r="N29" s="79" t="s">
        <v>19</v>
      </c>
      <c r="O29" s="80" t="s">
        <v>20</v>
      </c>
      <c r="P29" s="80" t="s">
        <v>21</v>
      </c>
      <c r="Q29" s="80" t="s">
        <v>22</v>
      </c>
      <c r="R29" s="473" t="s">
        <v>8</v>
      </c>
      <c r="S29" s="474"/>
      <c r="T29" s="143"/>
      <c r="U29" s="143"/>
      <c r="V29" s="143"/>
      <c r="W29" s="397" t="s">
        <v>69</v>
      </c>
      <c r="X29" s="398"/>
      <c r="Y29" s="266"/>
      <c r="Z29" s="266"/>
      <c r="AA29" s="266" t="s">
        <v>23</v>
      </c>
      <c r="AB29" s="475" t="s">
        <v>24</v>
      </c>
      <c r="AC29" s="476"/>
      <c r="AD29" s="122"/>
      <c r="AE29" s="122"/>
      <c r="AF29" s="122"/>
    </row>
    <row r="30" spans="1:29" ht="19.5" customHeight="1" thickBot="1">
      <c r="A30" s="513"/>
      <c r="B30" s="509"/>
      <c r="C30" s="509"/>
      <c r="D30" s="509"/>
      <c r="E30" s="509"/>
      <c r="F30" s="509"/>
      <c r="G30" s="509"/>
      <c r="H30" s="509"/>
      <c r="I30" s="509"/>
      <c r="J30" s="509"/>
      <c r="K30" s="509"/>
      <c r="L30" s="509"/>
      <c r="M30" s="511"/>
      <c r="N30" s="124">
        <v>1</v>
      </c>
      <c r="O30" s="124"/>
      <c r="P30" s="125">
        <f>AC26</f>
        <v>68.93916</v>
      </c>
      <c r="Q30" s="126">
        <v>0</v>
      </c>
      <c r="R30" s="387">
        <f>P30+Q30</f>
        <v>68.93916</v>
      </c>
      <c r="S30" s="388"/>
      <c r="T30" s="127"/>
      <c r="U30" s="128"/>
      <c r="V30" s="128"/>
      <c r="W30" s="119"/>
      <c r="X30" s="129">
        <f>AC28/AA30</f>
        <v>1.5319813333333334</v>
      </c>
      <c r="Y30" s="129"/>
      <c r="Z30" s="129"/>
      <c r="AA30" s="130">
        <v>0.3</v>
      </c>
      <c r="AB30" s="389">
        <f ca="1">NOW()</f>
        <v>41359.56477372685</v>
      </c>
      <c r="AC30" s="390"/>
    </row>
  </sheetData>
  <sheetProtection/>
  <mergeCells count="116">
    <mergeCell ref="AB29:AC29"/>
    <mergeCell ref="R30:S30"/>
    <mergeCell ref="AB30:AC30"/>
    <mergeCell ref="W28:Z28"/>
    <mergeCell ref="R29:S29"/>
    <mergeCell ref="W29:X29"/>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B3:G4"/>
    <mergeCell ref="H3:K3"/>
    <mergeCell ref="P3:V4"/>
    <mergeCell ref="A5:D5"/>
    <mergeCell ref="E5:F5"/>
    <mergeCell ref="G5:M5"/>
    <mergeCell ref="N5:Q5"/>
    <mergeCell ref="A1:K1"/>
    <mergeCell ref="N1:AC1"/>
    <mergeCell ref="A2:B2"/>
    <mergeCell ref="C2:G2"/>
    <mergeCell ref="N2:O2"/>
    <mergeCell ref="P2:T2"/>
    <mergeCell ref="F29:F30"/>
    <mergeCell ref="G29:H30"/>
    <mergeCell ref="I29:J30"/>
    <mergeCell ref="K29:L30"/>
    <mergeCell ref="M29:M30"/>
    <mergeCell ref="A29:A30"/>
    <mergeCell ref="B29:C30"/>
    <mergeCell ref="D29:D30"/>
    <mergeCell ref="E29:E30"/>
  </mergeCells>
  <hyperlinks>
    <hyperlink ref="M1" location="'Menu List'!A1" display="BACK TO THE MENU LIST"/>
  </hyperlinks>
  <printOptions/>
  <pageMargins left="0.7" right="0.7" top="0.75" bottom="0.75" header="0.3" footer="0.3"/>
  <pageSetup horizontalDpi="600" verticalDpi="600" orientation="landscape" scale="77"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269" customWidth="1"/>
    <col min="2" max="3" width="9.140625" style="269" customWidth="1"/>
    <col min="4" max="4" width="11.00390625" style="269" customWidth="1"/>
    <col min="5" max="5" width="9.140625" style="269" customWidth="1"/>
    <col min="6" max="6" width="11.28125" style="269" customWidth="1"/>
    <col min="7" max="7" width="4.8515625" style="269" customWidth="1"/>
    <col min="8" max="8" width="8.57421875" style="269" customWidth="1"/>
    <col min="9" max="9" width="9.8515625" style="269" customWidth="1"/>
    <col min="10" max="10" width="8.57421875" style="269" customWidth="1"/>
    <col min="11" max="12" width="13.7109375" style="269" customWidth="1"/>
    <col min="13" max="13" width="38.8515625" style="269" customWidth="1"/>
    <col min="14" max="16" width="9.140625" style="269" customWidth="1"/>
    <col min="17" max="17" width="8.8515625" style="269" customWidth="1"/>
    <col min="18" max="18" width="9.421875" style="269" customWidth="1"/>
    <col min="19" max="19" width="8.28125" style="269" customWidth="1"/>
    <col min="20" max="20" width="10.421875" style="269" customWidth="1"/>
    <col min="21" max="21" width="8.8515625" style="269" customWidth="1"/>
    <col min="22" max="22" width="9.8515625" style="269" customWidth="1"/>
    <col min="23" max="24" width="11.28125" style="269" customWidth="1"/>
    <col min="25" max="25" width="5.7109375" style="269" customWidth="1"/>
    <col min="26" max="26" width="11.421875" style="269" customWidth="1"/>
    <col min="27" max="28" width="9.140625" style="269" customWidth="1"/>
    <col min="29" max="29" width="11.57421875" style="269" customWidth="1"/>
    <col min="30" max="32" width="9.00390625" style="269" customWidth="1"/>
    <col min="33" max="16384" width="9.140625" style="269"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63"/>
      <c r="AE1" s="263"/>
      <c r="AF1" s="263"/>
      <c r="AG1" s="70"/>
      <c r="AH1" s="70"/>
    </row>
    <row r="2" spans="1:34" ht="47.25" customHeight="1" thickBot="1">
      <c r="A2" s="450" t="s">
        <v>44</v>
      </c>
      <c r="B2" s="450"/>
      <c r="C2" s="469" t="s">
        <v>185</v>
      </c>
      <c r="D2" s="469"/>
      <c r="E2" s="469"/>
      <c r="F2" s="469"/>
      <c r="G2" s="469"/>
      <c r="H2" s="267" t="s">
        <v>55</v>
      </c>
      <c r="I2" s="73">
        <v>5</v>
      </c>
      <c r="J2" s="267" t="s">
        <v>48</v>
      </c>
      <c r="K2" s="74" t="s">
        <v>212</v>
      </c>
      <c r="L2" s="75" t="s">
        <v>60</v>
      </c>
      <c r="M2" s="76"/>
      <c r="N2" s="470" t="s">
        <v>17</v>
      </c>
      <c r="O2" s="470"/>
      <c r="P2" s="471" t="str">
        <f>C2</f>
        <v>Caramelized Red Onions</v>
      </c>
      <c r="Q2" s="471"/>
      <c r="R2" s="471"/>
      <c r="S2" s="471"/>
      <c r="T2" s="472"/>
      <c r="U2" s="77"/>
      <c r="V2" s="77"/>
      <c r="W2" s="267" t="s">
        <v>55</v>
      </c>
      <c r="X2" s="78">
        <f>I2</f>
        <v>5</v>
      </c>
      <c r="Y2" s="79"/>
      <c r="Z2" s="80" t="s">
        <v>53</v>
      </c>
      <c r="AA2" s="81" t="str">
        <f>K2</f>
        <v>1/2  ounce</v>
      </c>
      <c r="AB2" s="82" t="str">
        <f>L2</f>
        <v>per serving</v>
      </c>
      <c r="AC2" s="83"/>
      <c r="AD2" s="84"/>
      <c r="AE2" s="84"/>
      <c r="AF2" s="84"/>
      <c r="AG2" s="83"/>
      <c r="AH2" s="83"/>
    </row>
    <row r="3" spans="1:34" ht="19.5" customHeight="1">
      <c r="A3" s="259"/>
      <c r="B3" s="450" t="s">
        <v>184</v>
      </c>
      <c r="C3" s="506"/>
      <c r="D3" s="506"/>
      <c r="E3" s="506"/>
      <c r="F3" s="506"/>
      <c r="G3" s="506"/>
      <c r="H3" s="263"/>
      <c r="I3" s="263" t="s">
        <v>213</v>
      </c>
      <c r="J3" s="231"/>
      <c r="K3" s="231"/>
      <c r="L3" s="85"/>
      <c r="M3" s="86"/>
      <c r="N3" s="267"/>
      <c r="O3" s="267"/>
      <c r="P3" s="505">
        <f>C3</f>
        <v>0</v>
      </c>
      <c r="Q3" s="506"/>
      <c r="R3" s="506"/>
      <c r="S3" s="506"/>
      <c r="T3" s="506"/>
      <c r="U3" s="506"/>
      <c r="V3" s="506"/>
      <c r="W3" s="267"/>
      <c r="X3" s="79">
        <f>H3</f>
        <v>0</v>
      </c>
      <c r="Y3" s="79"/>
      <c r="Z3" s="80"/>
      <c r="AA3" s="81"/>
      <c r="AB3" s="87"/>
      <c r="AC3" s="83"/>
      <c r="AD3" s="84"/>
      <c r="AE3" s="84"/>
      <c r="AF3" s="84"/>
      <c r="AG3" s="83"/>
      <c r="AH3" s="83"/>
    </row>
    <row r="4" spans="2:34" ht="15" customHeight="1" thickBot="1">
      <c r="B4" s="507"/>
      <c r="C4" s="507"/>
      <c r="D4" s="507"/>
      <c r="E4" s="507"/>
      <c r="F4" s="507"/>
      <c r="G4" s="507"/>
      <c r="H4" s="88"/>
      <c r="I4" s="88"/>
      <c r="N4" s="89"/>
      <c r="O4" s="89"/>
      <c r="P4" s="507"/>
      <c r="Q4" s="507"/>
      <c r="R4" s="507"/>
      <c r="S4" s="507"/>
      <c r="T4" s="507"/>
      <c r="U4" s="507"/>
      <c r="V4" s="507"/>
      <c r="W4" s="263"/>
      <c r="X4" s="83"/>
      <c r="Y4" s="83"/>
      <c r="Z4" s="83"/>
      <c r="AA4" s="83"/>
      <c r="AB4" s="83"/>
      <c r="AC4" s="83"/>
      <c r="AD4" s="90"/>
      <c r="AE4" s="90"/>
      <c r="AF4" s="90"/>
      <c r="AG4" s="83"/>
      <c r="AH4" s="83"/>
    </row>
    <row r="5" spans="1:32" ht="45.75" customHeight="1" thickBot="1">
      <c r="A5" s="455" t="s">
        <v>1</v>
      </c>
      <c r="B5" s="456"/>
      <c r="C5" s="456"/>
      <c r="D5" s="457"/>
      <c r="E5" s="458" t="s">
        <v>54</v>
      </c>
      <c r="F5" s="459"/>
      <c r="G5" s="458" t="s">
        <v>32</v>
      </c>
      <c r="H5" s="460"/>
      <c r="I5" s="460"/>
      <c r="J5" s="460"/>
      <c r="K5" s="460"/>
      <c r="L5" s="460"/>
      <c r="M5" s="459"/>
      <c r="N5" s="461" t="s">
        <v>1</v>
      </c>
      <c r="O5" s="462"/>
      <c r="P5" s="462"/>
      <c r="Q5" s="462"/>
      <c r="R5" s="261" t="s">
        <v>31</v>
      </c>
      <c r="S5" s="260" t="s">
        <v>2</v>
      </c>
      <c r="T5" s="261" t="s">
        <v>51</v>
      </c>
      <c r="U5" s="261" t="s">
        <v>30</v>
      </c>
      <c r="V5" s="261" t="s">
        <v>49</v>
      </c>
      <c r="W5" s="261" t="s">
        <v>57</v>
      </c>
      <c r="X5" s="442" t="s">
        <v>65</v>
      </c>
      <c r="Y5" s="442"/>
      <c r="Z5" s="261" t="s">
        <v>50</v>
      </c>
      <c r="AA5" s="261" t="s">
        <v>13</v>
      </c>
      <c r="AB5" s="261" t="s">
        <v>61</v>
      </c>
      <c r="AC5" s="133" t="s">
        <v>62</v>
      </c>
      <c r="AD5" s="263"/>
      <c r="AE5" s="263"/>
      <c r="AF5" s="263"/>
    </row>
    <row r="6" spans="1:32" ht="18.75" customHeight="1">
      <c r="A6" s="443" t="s">
        <v>186</v>
      </c>
      <c r="B6" s="444"/>
      <c r="C6" s="444"/>
      <c r="D6" s="445"/>
      <c r="E6" s="446" t="s">
        <v>165</v>
      </c>
      <c r="F6" s="447"/>
      <c r="G6" s="91">
        <v>1</v>
      </c>
      <c r="H6" s="444" t="s">
        <v>197</v>
      </c>
      <c r="I6" s="500"/>
      <c r="J6" s="500"/>
      <c r="K6" s="500"/>
      <c r="L6" s="500"/>
      <c r="M6" s="501"/>
      <c r="N6" s="485" t="str">
        <f aca="true" t="shared" si="0" ref="N6:N11">A6</f>
        <v>Onions, Red, Fresh, Juliann </v>
      </c>
      <c r="O6" s="486"/>
      <c r="P6" s="486"/>
      <c r="Q6" s="486"/>
      <c r="R6" s="92">
        <v>1</v>
      </c>
      <c r="S6" s="93" t="s">
        <v>80</v>
      </c>
      <c r="T6" s="94">
        <f>R6*X2</f>
        <v>5</v>
      </c>
      <c r="U6" s="95">
        <f>(X2*R6)/AA6</f>
        <v>5.555555555555555</v>
      </c>
      <c r="V6" s="96" t="s">
        <v>163</v>
      </c>
      <c r="W6" s="97">
        <v>17.97</v>
      </c>
      <c r="X6" s="98">
        <f aca="true" t="shared" si="1" ref="X6:X11">U6/1</f>
        <v>5.555555555555555</v>
      </c>
      <c r="Y6" s="98" t="s">
        <v>80</v>
      </c>
      <c r="Z6" s="99">
        <f>(W6/25)*X6</f>
        <v>3.993333333333333</v>
      </c>
      <c r="AA6" s="100">
        <v>0.9</v>
      </c>
      <c r="AB6" s="101">
        <f>Z6/X2</f>
        <v>0.7986666666666666</v>
      </c>
      <c r="AC6" s="102">
        <f>X2*AB6</f>
        <v>3.993333333333333</v>
      </c>
      <c r="AD6" s="103"/>
      <c r="AE6" s="103"/>
      <c r="AF6" s="103"/>
    </row>
    <row r="7" spans="1:32" ht="18.75" customHeight="1">
      <c r="A7" s="431" t="s">
        <v>192</v>
      </c>
      <c r="B7" s="432"/>
      <c r="C7" s="432"/>
      <c r="D7" s="433"/>
      <c r="E7" s="436" t="s">
        <v>131</v>
      </c>
      <c r="F7" s="435"/>
      <c r="G7" s="91">
        <v>2</v>
      </c>
      <c r="H7" s="432" t="s">
        <v>198</v>
      </c>
      <c r="I7" s="483"/>
      <c r="J7" s="483"/>
      <c r="K7" s="483"/>
      <c r="L7" s="483"/>
      <c r="M7" s="484"/>
      <c r="N7" s="485" t="str">
        <f t="shared" si="0"/>
        <v>Cooking Sherry</v>
      </c>
      <c r="O7" s="486"/>
      <c r="P7" s="486"/>
      <c r="Q7" s="486"/>
      <c r="R7" s="108">
        <f>0.5/5</f>
        <v>0.1</v>
      </c>
      <c r="S7" s="93" t="s">
        <v>67</v>
      </c>
      <c r="T7" s="94">
        <f>R7*X2</f>
        <v>0.5</v>
      </c>
      <c r="U7" s="95">
        <f>(X2*R7)/AA7</f>
        <v>0.5</v>
      </c>
      <c r="V7" s="96" t="s">
        <v>166</v>
      </c>
      <c r="W7" s="97">
        <v>9.6</v>
      </c>
      <c r="X7" s="98">
        <f t="shared" si="1"/>
        <v>0.5</v>
      </c>
      <c r="Y7" s="98" t="s">
        <v>67</v>
      </c>
      <c r="Z7" s="99">
        <f>(W7/16)*X7</f>
        <v>0.3</v>
      </c>
      <c r="AA7" s="100">
        <v>1</v>
      </c>
      <c r="AB7" s="101">
        <f>Z7/X2</f>
        <v>0.06</v>
      </c>
      <c r="AC7" s="102">
        <f>X2*AB7</f>
        <v>0.3</v>
      </c>
      <c r="AD7" s="103"/>
      <c r="AE7" s="103"/>
      <c r="AF7" s="103"/>
    </row>
    <row r="8" spans="1:32" ht="18.75" customHeight="1">
      <c r="A8" s="431" t="s">
        <v>193</v>
      </c>
      <c r="B8" s="432"/>
      <c r="C8" s="432"/>
      <c r="D8" s="433"/>
      <c r="E8" s="434" t="s">
        <v>131</v>
      </c>
      <c r="F8" s="435"/>
      <c r="G8" s="91"/>
      <c r="H8" s="432" t="s">
        <v>199</v>
      </c>
      <c r="I8" s="483"/>
      <c r="J8" s="483"/>
      <c r="K8" s="483"/>
      <c r="L8" s="483"/>
      <c r="M8" s="484"/>
      <c r="N8" s="485" t="str">
        <f t="shared" si="0"/>
        <v>Balsamic Vinegar</v>
      </c>
      <c r="O8" s="486"/>
      <c r="P8" s="486"/>
      <c r="Q8" s="486"/>
      <c r="R8" s="104">
        <f>0.5/5</f>
        <v>0.1</v>
      </c>
      <c r="S8" s="93" t="s">
        <v>67</v>
      </c>
      <c r="T8" s="94">
        <f>R8*X2</f>
        <v>0.5</v>
      </c>
      <c r="U8" s="95">
        <f>(X2*R8)/AA8</f>
        <v>0.5</v>
      </c>
      <c r="V8" s="96" t="s">
        <v>214</v>
      </c>
      <c r="W8" s="97">
        <v>23.82</v>
      </c>
      <c r="X8" s="98">
        <f t="shared" si="1"/>
        <v>0.5</v>
      </c>
      <c r="Y8" s="98" t="s">
        <v>67</v>
      </c>
      <c r="Z8" s="99">
        <f>(W8/10/4.23)*X8</f>
        <v>0.2815602836879432</v>
      </c>
      <c r="AA8" s="100">
        <v>1</v>
      </c>
      <c r="AB8" s="101">
        <f>Z8/X2</f>
        <v>0.05631205673758864</v>
      </c>
      <c r="AC8" s="102">
        <f>X2*AB8</f>
        <v>0.2815602836879432</v>
      </c>
      <c r="AD8" s="103"/>
      <c r="AE8" s="103"/>
      <c r="AF8" s="103"/>
    </row>
    <row r="9" spans="1:32" ht="18.75" customHeight="1">
      <c r="A9" s="431" t="s">
        <v>194</v>
      </c>
      <c r="B9" s="432"/>
      <c r="C9" s="432"/>
      <c r="D9" s="433"/>
      <c r="E9" s="436" t="s">
        <v>131</v>
      </c>
      <c r="F9" s="435"/>
      <c r="G9" s="91">
        <v>3</v>
      </c>
      <c r="H9" s="432" t="s">
        <v>200</v>
      </c>
      <c r="I9" s="483"/>
      <c r="J9" s="483"/>
      <c r="K9" s="483"/>
      <c r="L9" s="483"/>
      <c r="M9" s="484"/>
      <c r="N9" s="485" t="str">
        <f t="shared" si="0"/>
        <v>Red Wine Vinegar</v>
      </c>
      <c r="O9" s="486"/>
      <c r="P9" s="486"/>
      <c r="Q9" s="486"/>
      <c r="R9" s="104">
        <v>0.1</v>
      </c>
      <c r="S9" s="93" t="s">
        <v>67</v>
      </c>
      <c r="T9" s="94">
        <f>R9*X2</f>
        <v>0.5</v>
      </c>
      <c r="U9" s="95">
        <f>(X2*R9)/AA9</f>
        <v>0.5</v>
      </c>
      <c r="V9" s="96" t="s">
        <v>166</v>
      </c>
      <c r="W9" s="97">
        <v>4.16</v>
      </c>
      <c r="X9" s="98">
        <f t="shared" si="1"/>
        <v>0.5</v>
      </c>
      <c r="Y9" s="98" t="s">
        <v>67</v>
      </c>
      <c r="Z9" s="99">
        <f>(W9/16)*X9</f>
        <v>0.13</v>
      </c>
      <c r="AA9" s="100">
        <v>1</v>
      </c>
      <c r="AB9" s="101">
        <f>Z9/X2</f>
        <v>0.026000000000000002</v>
      </c>
      <c r="AC9" s="102">
        <f>X2*AB9</f>
        <v>0.13</v>
      </c>
      <c r="AD9" s="103"/>
      <c r="AE9" s="103"/>
      <c r="AF9" s="103"/>
    </row>
    <row r="10" spans="1:32" ht="18.75" customHeight="1">
      <c r="A10" s="431" t="s">
        <v>196</v>
      </c>
      <c r="B10" s="432"/>
      <c r="C10" s="432"/>
      <c r="D10" s="433"/>
      <c r="E10" s="436" t="s">
        <v>195</v>
      </c>
      <c r="F10" s="493"/>
      <c r="G10" s="91"/>
      <c r="H10" s="432" t="s">
        <v>201</v>
      </c>
      <c r="I10" s="494"/>
      <c r="J10" s="494"/>
      <c r="K10" s="494"/>
      <c r="L10" s="494"/>
      <c r="M10" s="495"/>
      <c r="N10" s="485" t="str">
        <f t="shared" si="0"/>
        <v>Olive Oil</v>
      </c>
      <c r="O10" s="486"/>
      <c r="P10" s="486"/>
      <c r="Q10" s="486"/>
      <c r="R10" s="105">
        <f>3/5</f>
        <v>0.6</v>
      </c>
      <c r="S10" s="93" t="s">
        <v>215</v>
      </c>
      <c r="T10" s="94">
        <f>R10*X2</f>
        <v>3</v>
      </c>
      <c r="U10" s="95">
        <f>(X2*R10)/AA10</f>
        <v>3</v>
      </c>
      <c r="V10" s="96" t="s">
        <v>166</v>
      </c>
      <c r="W10" s="97">
        <v>20.04</v>
      </c>
      <c r="X10" s="98">
        <f t="shared" si="1"/>
        <v>3</v>
      </c>
      <c r="Y10" s="98" t="s">
        <v>215</v>
      </c>
      <c r="Z10" s="99">
        <f>(W10/16/16)*X10</f>
        <v>0.23484375</v>
      </c>
      <c r="AA10" s="100">
        <v>1</v>
      </c>
      <c r="AB10" s="101">
        <f>Z10/X2</f>
        <v>0.04696875</v>
      </c>
      <c r="AC10" s="102">
        <f>X2*AB10</f>
        <v>0.23484375</v>
      </c>
      <c r="AD10" s="103"/>
      <c r="AE10" s="103"/>
      <c r="AF10" s="103"/>
    </row>
    <row r="11" spans="1:32" ht="18.75" customHeight="1">
      <c r="A11" s="431" t="s">
        <v>210</v>
      </c>
      <c r="B11" s="432"/>
      <c r="C11" s="432"/>
      <c r="D11" s="433"/>
      <c r="E11" s="436"/>
      <c r="F11" s="493"/>
      <c r="G11" s="91">
        <v>4</v>
      </c>
      <c r="H11" s="432" t="s">
        <v>202</v>
      </c>
      <c r="I11" s="494"/>
      <c r="J11" s="494"/>
      <c r="K11" s="494"/>
      <c r="L11" s="494"/>
      <c r="M11" s="495"/>
      <c r="N11" s="496" t="str">
        <f t="shared" si="0"/>
        <v>Salt, to taste</v>
      </c>
      <c r="O11" s="439"/>
      <c r="P11" s="439"/>
      <c r="Q11" s="439"/>
      <c r="R11" s="104"/>
      <c r="S11" s="93"/>
      <c r="T11" s="94">
        <f>R11*X2</f>
        <v>0</v>
      </c>
      <c r="U11" s="95">
        <f>(X2*R11)/AA11</f>
        <v>0</v>
      </c>
      <c r="V11" s="96"/>
      <c r="W11" s="97">
        <v>0</v>
      </c>
      <c r="X11" s="98">
        <f t="shared" si="1"/>
        <v>0</v>
      </c>
      <c r="Y11" s="98" t="s">
        <v>66</v>
      </c>
      <c r="Z11" s="99">
        <f>(W11/10)*X11</f>
        <v>0</v>
      </c>
      <c r="AA11" s="100">
        <v>1</v>
      </c>
      <c r="AB11" s="101">
        <f>Z11/X2</f>
        <v>0</v>
      </c>
      <c r="AC11" s="102">
        <f>X2*AB11</f>
        <v>0</v>
      </c>
      <c r="AD11" s="103"/>
      <c r="AE11" s="103"/>
      <c r="AF11" s="103"/>
    </row>
    <row r="12" spans="1:32" ht="18.75" customHeight="1">
      <c r="A12" s="431"/>
      <c r="B12" s="432"/>
      <c r="C12" s="432"/>
      <c r="D12" s="433"/>
      <c r="E12" s="436"/>
      <c r="F12" s="493"/>
      <c r="G12" s="91">
        <v>5</v>
      </c>
      <c r="H12" s="432" t="s">
        <v>203</v>
      </c>
      <c r="I12" s="494"/>
      <c r="J12" s="494"/>
      <c r="K12" s="494"/>
      <c r="L12" s="494"/>
      <c r="M12" s="495"/>
      <c r="N12" s="431"/>
      <c r="O12" s="437"/>
      <c r="P12" s="437"/>
      <c r="Q12" s="437"/>
      <c r="R12" s="108"/>
      <c r="S12" s="93"/>
      <c r="T12" s="94"/>
      <c r="U12" s="95"/>
      <c r="V12" s="96"/>
      <c r="W12" s="97"/>
      <c r="X12" s="98"/>
      <c r="Y12" s="98"/>
      <c r="Z12" s="99"/>
      <c r="AA12" s="106"/>
      <c r="AB12" s="101"/>
      <c r="AC12" s="107"/>
      <c r="AD12" s="103"/>
      <c r="AE12" s="103"/>
      <c r="AF12" s="103"/>
    </row>
    <row r="13" spans="1:32" ht="18.75" customHeight="1">
      <c r="A13" s="431"/>
      <c r="B13" s="432"/>
      <c r="C13" s="432"/>
      <c r="D13" s="433"/>
      <c r="E13" s="434"/>
      <c r="F13" s="492"/>
      <c r="G13" s="91">
        <v>6</v>
      </c>
      <c r="H13" s="432" t="s">
        <v>204</v>
      </c>
      <c r="I13" s="483"/>
      <c r="J13" s="483"/>
      <c r="K13" s="483"/>
      <c r="L13" s="483"/>
      <c r="M13" s="484"/>
      <c r="N13" s="485"/>
      <c r="O13" s="486"/>
      <c r="P13" s="486"/>
      <c r="Q13" s="486"/>
      <c r="R13" s="104"/>
      <c r="S13" s="93"/>
      <c r="T13" s="94"/>
      <c r="U13" s="95"/>
      <c r="V13" s="96"/>
      <c r="W13" s="97"/>
      <c r="X13" s="98"/>
      <c r="Y13" s="98"/>
      <c r="Z13" s="99"/>
      <c r="AA13" s="106"/>
      <c r="AB13" s="101"/>
      <c r="AC13" s="107"/>
      <c r="AD13" s="103"/>
      <c r="AE13" s="103"/>
      <c r="AF13" s="103"/>
    </row>
    <row r="14" spans="1:32" ht="18.75" customHeight="1">
      <c r="A14" s="431"/>
      <c r="B14" s="432"/>
      <c r="C14" s="432"/>
      <c r="D14" s="433"/>
      <c r="E14" s="434"/>
      <c r="F14" s="492"/>
      <c r="G14" s="91">
        <v>7</v>
      </c>
      <c r="H14" s="432" t="s">
        <v>205</v>
      </c>
      <c r="I14" s="483"/>
      <c r="J14" s="483"/>
      <c r="K14" s="483"/>
      <c r="L14" s="483"/>
      <c r="M14" s="484"/>
      <c r="N14" s="485"/>
      <c r="O14" s="486"/>
      <c r="P14" s="486"/>
      <c r="Q14" s="486"/>
      <c r="R14" s="104"/>
      <c r="S14" s="93"/>
      <c r="T14" s="94"/>
      <c r="U14" s="95"/>
      <c r="V14" s="96"/>
      <c r="W14" s="97"/>
      <c r="X14" s="98"/>
      <c r="Y14" s="98"/>
      <c r="Z14" s="99"/>
      <c r="AA14" s="106"/>
      <c r="AB14" s="101"/>
      <c r="AC14" s="107"/>
      <c r="AD14" s="103"/>
      <c r="AE14" s="103"/>
      <c r="AF14" s="103"/>
    </row>
    <row r="15" spans="1:32" ht="18.75" customHeight="1">
      <c r="A15" s="431"/>
      <c r="B15" s="432"/>
      <c r="C15" s="432"/>
      <c r="D15" s="433"/>
      <c r="E15" s="434"/>
      <c r="F15" s="492"/>
      <c r="G15" s="91">
        <v>8</v>
      </c>
      <c r="H15" s="432" t="s">
        <v>206</v>
      </c>
      <c r="I15" s="483"/>
      <c r="J15" s="483"/>
      <c r="K15" s="483"/>
      <c r="L15" s="483"/>
      <c r="M15" s="484"/>
      <c r="N15" s="485"/>
      <c r="O15" s="486"/>
      <c r="P15" s="486"/>
      <c r="Q15" s="486"/>
      <c r="R15" s="104"/>
      <c r="S15" s="93"/>
      <c r="T15" s="94"/>
      <c r="U15" s="95"/>
      <c r="V15" s="96"/>
      <c r="W15" s="97"/>
      <c r="X15" s="94"/>
      <c r="Y15" s="94"/>
      <c r="Z15" s="99"/>
      <c r="AA15" s="106"/>
      <c r="AB15" s="101"/>
      <c r="AC15" s="107"/>
      <c r="AD15" s="103"/>
      <c r="AE15" s="103"/>
      <c r="AF15" s="103"/>
    </row>
    <row r="16" spans="1:32" ht="18.75" customHeight="1">
      <c r="A16" s="431"/>
      <c r="B16" s="432"/>
      <c r="C16" s="432"/>
      <c r="D16" s="433"/>
      <c r="E16" s="434"/>
      <c r="F16" s="492"/>
      <c r="G16" s="91"/>
      <c r="H16" s="432" t="s">
        <v>207</v>
      </c>
      <c r="I16" s="483"/>
      <c r="J16" s="483"/>
      <c r="K16" s="483"/>
      <c r="L16" s="483"/>
      <c r="M16" s="484"/>
      <c r="N16" s="485"/>
      <c r="O16" s="486"/>
      <c r="P16" s="486"/>
      <c r="Q16" s="486"/>
      <c r="R16" s="104"/>
      <c r="S16" s="93"/>
      <c r="T16" s="94"/>
      <c r="U16" s="95"/>
      <c r="V16" s="96"/>
      <c r="W16" s="97"/>
      <c r="X16" s="94"/>
      <c r="Y16" s="94"/>
      <c r="Z16" s="99"/>
      <c r="AA16" s="106"/>
      <c r="AB16" s="101"/>
      <c r="AC16" s="107"/>
      <c r="AD16" s="103"/>
      <c r="AE16" s="103"/>
      <c r="AF16" s="103"/>
    </row>
    <row r="17" spans="1:32" ht="18.75" customHeight="1">
      <c r="A17" s="431"/>
      <c r="B17" s="432"/>
      <c r="C17" s="432"/>
      <c r="D17" s="433"/>
      <c r="E17" s="434"/>
      <c r="F17" s="492"/>
      <c r="G17" s="91"/>
      <c r="H17" s="432" t="s">
        <v>208</v>
      </c>
      <c r="I17" s="483"/>
      <c r="J17" s="483"/>
      <c r="K17" s="483"/>
      <c r="L17" s="483"/>
      <c r="M17" s="484"/>
      <c r="N17" s="485"/>
      <c r="O17" s="486"/>
      <c r="P17" s="486"/>
      <c r="Q17" s="486"/>
      <c r="R17" s="104"/>
      <c r="S17" s="93"/>
      <c r="T17" s="94"/>
      <c r="U17" s="95"/>
      <c r="V17" s="96"/>
      <c r="W17" s="97"/>
      <c r="X17" s="94"/>
      <c r="Y17" s="94"/>
      <c r="Z17" s="99"/>
      <c r="AA17" s="106"/>
      <c r="AB17" s="101"/>
      <c r="AC17" s="107"/>
      <c r="AD17" s="103"/>
      <c r="AE17" s="103"/>
      <c r="AF17" s="103"/>
    </row>
    <row r="18" spans="1:32" ht="18.75" customHeight="1">
      <c r="A18" s="431"/>
      <c r="B18" s="432"/>
      <c r="C18" s="432"/>
      <c r="D18" s="433"/>
      <c r="E18" s="434"/>
      <c r="F18" s="492"/>
      <c r="G18" s="91">
        <v>9</v>
      </c>
      <c r="H18" s="432" t="s">
        <v>209</v>
      </c>
      <c r="I18" s="483"/>
      <c r="J18" s="483"/>
      <c r="K18" s="483"/>
      <c r="L18" s="483"/>
      <c r="M18" s="484"/>
      <c r="N18" s="485"/>
      <c r="O18" s="486"/>
      <c r="P18" s="486"/>
      <c r="Q18" s="486"/>
      <c r="R18" s="104"/>
      <c r="S18" s="93"/>
      <c r="T18" s="94"/>
      <c r="U18" s="95"/>
      <c r="V18" s="96"/>
      <c r="W18" s="97"/>
      <c r="X18" s="94"/>
      <c r="Y18" s="94"/>
      <c r="Z18" s="99"/>
      <c r="AA18" s="106"/>
      <c r="AB18" s="101"/>
      <c r="AC18" s="107"/>
      <c r="AD18" s="103"/>
      <c r="AE18" s="103"/>
      <c r="AF18" s="103"/>
    </row>
    <row r="19" spans="1:32" ht="18.75" customHeight="1">
      <c r="A19" s="431"/>
      <c r="B19" s="432"/>
      <c r="C19" s="432"/>
      <c r="D19" s="433"/>
      <c r="E19" s="434"/>
      <c r="F19" s="492"/>
      <c r="G19" s="91"/>
      <c r="H19" s="432"/>
      <c r="I19" s="483"/>
      <c r="J19" s="483"/>
      <c r="K19" s="483"/>
      <c r="L19" s="483"/>
      <c r="M19" s="484"/>
      <c r="N19" s="485"/>
      <c r="O19" s="486"/>
      <c r="P19" s="486"/>
      <c r="Q19" s="486"/>
      <c r="R19" s="104"/>
      <c r="S19" s="93"/>
      <c r="T19" s="94"/>
      <c r="U19" s="109"/>
      <c r="V19" s="96"/>
      <c r="W19" s="97"/>
      <c r="X19" s="94"/>
      <c r="Y19" s="94"/>
      <c r="Z19" s="99"/>
      <c r="AA19" s="106"/>
      <c r="AB19" s="101"/>
      <c r="AC19" s="107"/>
      <c r="AD19" s="103"/>
      <c r="AE19" s="103"/>
      <c r="AF19" s="103"/>
    </row>
    <row r="20" spans="1:32" ht="18.75" customHeight="1">
      <c r="A20" s="431"/>
      <c r="B20" s="432"/>
      <c r="C20" s="432"/>
      <c r="D20" s="433"/>
      <c r="E20" s="434"/>
      <c r="F20" s="492"/>
      <c r="G20" s="91"/>
      <c r="H20" s="432"/>
      <c r="I20" s="483"/>
      <c r="J20" s="483"/>
      <c r="K20" s="483"/>
      <c r="L20" s="483"/>
      <c r="M20" s="484"/>
      <c r="N20" s="485"/>
      <c r="O20" s="486"/>
      <c r="P20" s="486"/>
      <c r="Q20" s="486"/>
      <c r="R20" s="104"/>
      <c r="S20" s="93"/>
      <c r="T20" s="94"/>
      <c r="U20" s="109"/>
      <c r="V20" s="96"/>
      <c r="W20" s="97"/>
      <c r="X20" s="94"/>
      <c r="Y20" s="94"/>
      <c r="Z20" s="99"/>
      <c r="AA20" s="106"/>
      <c r="AB20" s="101"/>
      <c r="AC20" s="107"/>
      <c r="AD20" s="103"/>
      <c r="AE20" s="103"/>
      <c r="AF20" s="103"/>
    </row>
    <row r="21" spans="1:32" ht="27.75" customHeight="1">
      <c r="A21" s="431"/>
      <c r="B21" s="432"/>
      <c r="C21" s="432"/>
      <c r="D21" s="433"/>
      <c r="E21" s="434"/>
      <c r="F21" s="492"/>
      <c r="G21" s="91"/>
      <c r="H21" s="432"/>
      <c r="I21" s="483"/>
      <c r="J21" s="483"/>
      <c r="K21" s="483"/>
      <c r="L21" s="483"/>
      <c r="M21" s="484"/>
      <c r="N21" s="485"/>
      <c r="O21" s="486"/>
      <c r="P21" s="486"/>
      <c r="Q21" s="486"/>
      <c r="R21" s="104"/>
      <c r="S21" s="93"/>
      <c r="T21" s="94"/>
      <c r="U21" s="109"/>
      <c r="V21" s="96"/>
      <c r="W21" s="97"/>
      <c r="X21" s="94"/>
      <c r="Y21" s="94"/>
      <c r="Z21" s="99"/>
      <c r="AA21" s="106"/>
      <c r="AB21" s="101"/>
      <c r="AC21" s="107"/>
      <c r="AD21" s="103"/>
      <c r="AE21" s="103"/>
      <c r="AF21" s="103"/>
    </row>
    <row r="22" spans="1:32" ht="18.75" customHeight="1">
      <c r="A22" s="431"/>
      <c r="B22" s="432"/>
      <c r="C22" s="432"/>
      <c r="D22" s="433"/>
      <c r="E22" s="434"/>
      <c r="F22" s="435"/>
      <c r="G22" s="91"/>
      <c r="H22" s="432"/>
      <c r="I22" s="483"/>
      <c r="J22" s="483"/>
      <c r="K22" s="483"/>
      <c r="L22" s="483"/>
      <c r="M22" s="484"/>
      <c r="N22" s="485"/>
      <c r="O22" s="486"/>
      <c r="P22" s="486"/>
      <c r="Q22" s="486"/>
      <c r="R22" s="104"/>
      <c r="S22" s="93"/>
      <c r="T22" s="94"/>
      <c r="U22" s="95"/>
      <c r="V22" s="96"/>
      <c r="W22" s="97"/>
      <c r="X22" s="94"/>
      <c r="Y22" s="94"/>
      <c r="Z22" s="99"/>
      <c r="AA22" s="106"/>
      <c r="AB22" s="101"/>
      <c r="AC22" s="107"/>
      <c r="AD22" s="103"/>
      <c r="AE22" s="103"/>
      <c r="AF22" s="103"/>
    </row>
    <row r="23" spans="1:32" ht="18.75" customHeight="1" thickBot="1">
      <c r="A23" s="487"/>
      <c r="B23" s="488"/>
      <c r="C23" s="488"/>
      <c r="D23" s="489"/>
      <c r="E23" s="434"/>
      <c r="F23" s="435"/>
      <c r="G23" s="110"/>
      <c r="H23" s="488"/>
      <c r="I23" s="490"/>
      <c r="J23" s="490"/>
      <c r="K23" s="490"/>
      <c r="L23" s="490"/>
      <c r="M23" s="491"/>
      <c r="N23" s="485"/>
      <c r="O23" s="486"/>
      <c r="P23" s="486"/>
      <c r="Q23" s="486"/>
      <c r="R23" s="104"/>
      <c r="S23" s="93"/>
      <c r="T23" s="94"/>
      <c r="U23" s="109"/>
      <c r="V23" s="96"/>
      <c r="W23" s="97"/>
      <c r="X23" s="94"/>
      <c r="Y23" s="94"/>
      <c r="Z23" s="99"/>
      <c r="AA23" s="106"/>
      <c r="AB23" s="101"/>
      <c r="AC23" s="107"/>
      <c r="AD23" s="103"/>
      <c r="AE23" s="103"/>
      <c r="AF23" s="103"/>
    </row>
    <row r="24" spans="1:32" ht="25.5" customHeight="1" thickBot="1">
      <c r="A24" s="111"/>
      <c r="B24" s="112"/>
      <c r="C24" s="112"/>
      <c r="D24" s="112"/>
      <c r="E24" s="112"/>
      <c r="F24" s="112"/>
      <c r="G24" s="112"/>
      <c r="H24" s="112"/>
      <c r="I24" s="112"/>
      <c r="J24" s="112"/>
      <c r="K24" s="113"/>
      <c r="L24" s="268"/>
      <c r="M24" s="268"/>
      <c r="N24" s="422" t="s">
        <v>47</v>
      </c>
      <c r="O24" s="423"/>
      <c r="P24" s="423"/>
      <c r="Q24" s="424"/>
      <c r="R24" s="425" t="s">
        <v>64</v>
      </c>
      <c r="S24" s="424"/>
      <c r="T24" s="424"/>
      <c r="U24" s="424"/>
      <c r="V24" s="424"/>
      <c r="W24" s="424"/>
      <c r="X24" s="424"/>
      <c r="Y24" s="424"/>
      <c r="Z24" s="424"/>
      <c r="AA24" s="424"/>
      <c r="AB24" s="424"/>
      <c r="AC24" s="115">
        <f>ROUNDUP(SUM(AC6:AC23),5)</f>
        <v>4.93974</v>
      </c>
      <c r="AD24" s="103"/>
      <c r="AE24" s="103"/>
      <c r="AF24" s="103"/>
    </row>
    <row r="25" spans="1:32" ht="20.25" customHeight="1">
      <c r="A25" s="478" t="s">
        <v>45</v>
      </c>
      <c r="B25" s="479"/>
      <c r="C25" s="479"/>
      <c r="D25" s="479"/>
      <c r="E25" s="479"/>
      <c r="F25" s="479"/>
      <c r="G25" s="479"/>
      <c r="H25" s="479"/>
      <c r="I25" s="479"/>
      <c r="J25" s="479"/>
      <c r="K25" s="480"/>
      <c r="L25" s="271"/>
      <c r="M25" s="271"/>
      <c r="N25" s="407"/>
      <c r="O25" s="408"/>
      <c r="P25" s="408"/>
      <c r="Q25" s="408"/>
      <c r="R25" s="134"/>
      <c r="S25" s="134"/>
      <c r="T25" s="134"/>
      <c r="U25" s="134"/>
      <c r="V25" s="134"/>
      <c r="W25" s="135" t="s">
        <v>9</v>
      </c>
      <c r="X25" s="135"/>
      <c r="Y25" s="135"/>
      <c r="Z25" s="135"/>
      <c r="AA25" s="135"/>
      <c r="AB25" s="135"/>
      <c r="AC25" s="117">
        <f>ROUND(AC24*10/100,5)</f>
        <v>0.49397</v>
      </c>
      <c r="AD25" s="103"/>
      <c r="AE25" s="103"/>
      <c r="AF25" s="103"/>
    </row>
    <row r="26" spans="1:32" ht="22.5" customHeight="1" thickBot="1">
      <c r="A26" s="409" t="s">
        <v>42</v>
      </c>
      <c r="B26" s="481"/>
      <c r="C26" s="481"/>
      <c r="D26" s="481"/>
      <c r="E26" s="481"/>
      <c r="F26" s="270"/>
      <c r="G26" s="411" t="s">
        <v>46</v>
      </c>
      <c r="H26" s="411"/>
      <c r="I26" s="411" t="s">
        <v>211</v>
      </c>
      <c r="J26" s="481"/>
      <c r="K26" s="482"/>
      <c r="L26" s="270"/>
      <c r="M26" s="270"/>
      <c r="N26" s="136"/>
      <c r="O26" s="137"/>
      <c r="P26" s="413"/>
      <c r="Q26" s="413"/>
      <c r="R26" s="138"/>
      <c r="S26" s="138"/>
      <c r="T26" s="138"/>
      <c r="U26" s="138"/>
      <c r="V26" s="138"/>
      <c r="W26" s="139" t="s">
        <v>6</v>
      </c>
      <c r="X26" s="139"/>
      <c r="Y26" s="139"/>
      <c r="Z26" s="139"/>
      <c r="AA26" s="139"/>
      <c r="AB26" s="139"/>
      <c r="AC26" s="120">
        <f>AC24+AC25</f>
        <v>5.43371</v>
      </c>
      <c r="AD26" s="103"/>
      <c r="AE26" s="103"/>
      <c r="AF26" s="103"/>
    </row>
    <row r="27" spans="18:32" ht="7.5" customHeight="1" thickBot="1">
      <c r="R27" s="399"/>
      <c r="S27" s="399"/>
      <c r="T27" s="263"/>
      <c r="U27" s="263"/>
      <c r="V27" s="263"/>
      <c r="W27" s="263"/>
      <c r="X27" s="263"/>
      <c r="Y27" s="263"/>
      <c r="Z27" s="263"/>
      <c r="AA27" s="267"/>
      <c r="AB27" s="267"/>
      <c r="AC27" s="267"/>
      <c r="AD27" s="70"/>
      <c r="AE27" s="70"/>
      <c r="AF27" s="70"/>
    </row>
    <row r="28" spans="1:32" ht="20.25" customHeight="1">
      <c r="A28" s="264" t="s">
        <v>35</v>
      </c>
      <c r="B28" s="393" t="s">
        <v>36</v>
      </c>
      <c r="C28" s="393"/>
      <c r="D28" s="63" t="s">
        <v>37</v>
      </c>
      <c r="E28" s="63" t="s">
        <v>38</v>
      </c>
      <c r="F28" s="63" t="s">
        <v>39</v>
      </c>
      <c r="G28" s="393" t="s">
        <v>40</v>
      </c>
      <c r="H28" s="393"/>
      <c r="I28" s="393" t="s">
        <v>41</v>
      </c>
      <c r="J28" s="393"/>
      <c r="K28" s="393" t="s">
        <v>52</v>
      </c>
      <c r="L28" s="393"/>
      <c r="M28" s="327" t="s">
        <v>135</v>
      </c>
      <c r="N28" s="400" t="s">
        <v>5</v>
      </c>
      <c r="O28" s="401"/>
      <c r="P28" s="401"/>
      <c r="Q28" s="140"/>
      <c r="R28" s="401"/>
      <c r="S28" s="477"/>
      <c r="T28" s="265"/>
      <c r="U28" s="265"/>
      <c r="V28" s="265"/>
      <c r="W28" s="391" t="s">
        <v>68</v>
      </c>
      <c r="X28" s="392"/>
      <c r="Y28" s="392"/>
      <c r="Z28" s="392"/>
      <c r="AA28" s="262"/>
      <c r="AB28" s="262"/>
      <c r="AC28" s="121">
        <f>AC26/150</f>
        <v>0.03622473333333333</v>
      </c>
      <c r="AD28" s="122"/>
      <c r="AE28" s="122"/>
      <c r="AF28" s="122"/>
    </row>
    <row r="29" spans="1:32" ht="37.5" customHeight="1">
      <c r="A29" s="264"/>
      <c r="B29" s="393"/>
      <c r="C29" s="393"/>
      <c r="D29" s="63"/>
      <c r="E29" s="63"/>
      <c r="F29" s="63"/>
      <c r="G29" s="393"/>
      <c r="H29" s="393"/>
      <c r="I29" s="393"/>
      <c r="J29" s="393"/>
      <c r="K29" s="393"/>
      <c r="L29" s="393"/>
      <c r="M29" s="235">
        <f ca="1">NOW()</f>
        <v>41359.56477372685</v>
      </c>
      <c r="N29" s="91" t="s">
        <v>19</v>
      </c>
      <c r="O29" s="80" t="s">
        <v>20</v>
      </c>
      <c r="P29" s="80" t="s">
        <v>21</v>
      </c>
      <c r="Q29" s="80" t="s">
        <v>22</v>
      </c>
      <c r="R29" s="473" t="s">
        <v>8</v>
      </c>
      <c r="S29" s="474"/>
      <c r="T29" s="143"/>
      <c r="U29" s="143"/>
      <c r="V29" s="143"/>
      <c r="W29" s="397" t="s">
        <v>69</v>
      </c>
      <c r="X29" s="398"/>
      <c r="Y29" s="266"/>
      <c r="Z29" s="266"/>
      <c r="AA29" s="266" t="s">
        <v>23</v>
      </c>
      <c r="AB29" s="475" t="s">
        <v>24</v>
      </c>
      <c r="AC29" s="476"/>
      <c r="AD29" s="122"/>
      <c r="AE29" s="122"/>
      <c r="AF29" s="122"/>
    </row>
    <row r="30" spans="14:29" ht="19.5" customHeight="1" thickBot="1">
      <c r="N30" s="123">
        <v>1</v>
      </c>
      <c r="O30" s="124"/>
      <c r="P30" s="125">
        <f>AC26</f>
        <v>5.43371</v>
      </c>
      <c r="Q30" s="126">
        <v>0</v>
      </c>
      <c r="R30" s="387">
        <f>P30+Q30</f>
        <v>5.43371</v>
      </c>
      <c r="S30" s="388"/>
      <c r="T30" s="127"/>
      <c r="U30" s="128"/>
      <c r="V30" s="128"/>
      <c r="W30" s="119"/>
      <c r="X30" s="129">
        <f>AC28/AA30</f>
        <v>0.1207491111111111</v>
      </c>
      <c r="Y30" s="129"/>
      <c r="Z30" s="129"/>
      <c r="AA30" s="130">
        <v>0.3</v>
      </c>
      <c r="AB30" s="389">
        <f ca="1">NOW()</f>
        <v>41359.56477372685</v>
      </c>
      <c r="AC30" s="390"/>
    </row>
  </sheetData>
  <sheetProtection/>
  <mergeCells count="110">
    <mergeCell ref="AB29:AC29"/>
    <mergeCell ref="R30:S30"/>
    <mergeCell ref="AB30:AC30"/>
    <mergeCell ref="W28:Z28"/>
    <mergeCell ref="B29:C29"/>
    <mergeCell ref="G29:H29"/>
    <mergeCell ref="I29:J29"/>
    <mergeCell ref="K29:L29"/>
    <mergeCell ref="R29:S29"/>
    <mergeCell ref="W29:X29"/>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B3:G4"/>
    <mergeCell ref="P3:V4"/>
    <mergeCell ref="A5:D5"/>
    <mergeCell ref="E5:F5"/>
    <mergeCell ref="G5:M5"/>
    <mergeCell ref="N5:Q5"/>
    <mergeCell ref="A1:K1"/>
    <mergeCell ref="N1:AC1"/>
    <mergeCell ref="A2:B2"/>
    <mergeCell ref="C2:G2"/>
    <mergeCell ref="N2:O2"/>
    <mergeCell ref="P2:T2"/>
  </mergeCells>
  <hyperlinks>
    <hyperlink ref="M1" location="'Menu List'!A1" display="BACK TO THE MENU LIST"/>
  </hyperlinks>
  <printOptions/>
  <pageMargins left="0.7" right="0.7" top="0.75" bottom="0.75" header="0.3" footer="0.3"/>
  <pageSetup horizontalDpi="600" verticalDpi="600" orientation="landscape" scale="79"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AH29"/>
  <sheetViews>
    <sheetView zoomScalePageLayoutView="0" workbookViewId="0" topLeftCell="A1">
      <selection activeCell="M1" sqref="M1"/>
    </sheetView>
  </sheetViews>
  <sheetFormatPr defaultColWidth="9.140625" defaultRowHeight="12.75"/>
  <cols>
    <col min="1" max="1" width="9.8515625" style="216" customWidth="1"/>
    <col min="2" max="3" width="9.140625" style="216" customWidth="1"/>
    <col min="4" max="4" width="10.8515625" style="216" customWidth="1"/>
    <col min="5" max="5" width="9.140625" style="216" customWidth="1"/>
    <col min="6" max="6" width="11.421875" style="216" customWidth="1"/>
    <col min="7" max="7" width="4.8515625" style="216" customWidth="1"/>
    <col min="8" max="8" width="8.57421875" style="216" customWidth="1"/>
    <col min="9" max="9" width="9.8515625" style="216" customWidth="1"/>
    <col min="10" max="10" width="8.57421875" style="216" customWidth="1"/>
    <col min="11" max="12" width="13.7109375" style="216" customWidth="1"/>
    <col min="13" max="13" width="38.8515625" style="216" customWidth="1"/>
    <col min="14" max="16" width="9.140625" style="216" customWidth="1"/>
    <col min="17" max="17" width="11.8515625" style="216" customWidth="1"/>
    <col min="18" max="18" width="9.57421875" style="216" customWidth="1"/>
    <col min="19" max="19" width="8.140625" style="216" customWidth="1"/>
    <col min="20" max="20" width="10.421875" style="216" customWidth="1"/>
    <col min="21" max="21" width="9.8515625" style="216" customWidth="1"/>
    <col min="22" max="22" width="10.140625" style="216" customWidth="1"/>
    <col min="23" max="23" width="11.140625" style="216" customWidth="1"/>
    <col min="24" max="24" width="11.57421875" style="216" customWidth="1"/>
    <col min="25" max="25" width="4.28125" style="216" customWidth="1"/>
    <col min="26" max="26" width="10.7109375" style="216" customWidth="1"/>
    <col min="27" max="27" width="9.00390625" style="216" customWidth="1"/>
    <col min="28" max="28" width="9.28125" style="216" customWidth="1"/>
    <col min="29" max="29" width="11.57421875" style="216" customWidth="1"/>
    <col min="30" max="32" width="9.00390625" style="216" customWidth="1"/>
    <col min="33" max="16384" width="9.140625" style="216" customWidth="1"/>
  </cols>
  <sheetData>
    <row r="1" spans="1:34" ht="21.75" thickBot="1">
      <c r="A1" s="466" t="s">
        <v>43</v>
      </c>
      <c r="B1" s="466"/>
      <c r="C1" s="466"/>
      <c r="D1" s="466"/>
      <c r="E1" s="466"/>
      <c r="F1" s="466"/>
      <c r="G1" s="466"/>
      <c r="H1" s="466"/>
      <c r="I1" s="466"/>
      <c r="J1" s="466"/>
      <c r="K1" s="466"/>
      <c r="L1" s="66"/>
      <c r="M1" s="242" t="s">
        <v>138</v>
      </c>
      <c r="N1" s="467" t="s">
        <v>56</v>
      </c>
      <c r="O1" s="468"/>
      <c r="P1" s="468"/>
      <c r="Q1" s="468"/>
      <c r="R1" s="468"/>
      <c r="S1" s="468"/>
      <c r="T1" s="468"/>
      <c r="U1" s="468"/>
      <c r="V1" s="468"/>
      <c r="W1" s="468"/>
      <c r="X1" s="468"/>
      <c r="Y1" s="468"/>
      <c r="Z1" s="468"/>
      <c r="AA1" s="468"/>
      <c r="AB1" s="468"/>
      <c r="AC1" s="468"/>
      <c r="AD1" s="219"/>
      <c r="AE1" s="219"/>
      <c r="AF1" s="219"/>
      <c r="AG1" s="70"/>
      <c r="AH1" s="70"/>
    </row>
    <row r="2" spans="1:34" ht="52.5" customHeight="1" thickBot="1">
      <c r="A2" s="450" t="s">
        <v>44</v>
      </c>
      <c r="B2" s="450"/>
      <c r="C2" s="469" t="s">
        <v>142</v>
      </c>
      <c r="D2" s="469"/>
      <c r="E2" s="469"/>
      <c r="F2" s="469"/>
      <c r="G2" s="469"/>
      <c r="H2" s="214" t="s">
        <v>55</v>
      </c>
      <c r="I2" s="151">
        <v>50</v>
      </c>
      <c r="J2" s="214" t="s">
        <v>48</v>
      </c>
      <c r="K2" s="516" t="s">
        <v>239</v>
      </c>
      <c r="L2" s="517"/>
      <c r="M2" s="153"/>
      <c r="N2" s="470" t="s">
        <v>17</v>
      </c>
      <c r="O2" s="470"/>
      <c r="P2" s="471" t="str">
        <f>C2</f>
        <v>Shaved Roasted Chicken Crostini</v>
      </c>
      <c r="Q2" s="471"/>
      <c r="R2" s="471"/>
      <c r="S2" s="471"/>
      <c r="T2" s="472"/>
      <c r="U2" s="77"/>
      <c r="V2" s="77"/>
      <c r="W2" s="214" t="s">
        <v>55</v>
      </c>
      <c r="X2" s="78">
        <f>I2</f>
        <v>50</v>
      </c>
      <c r="Y2" s="79"/>
      <c r="Z2" s="80" t="s">
        <v>53</v>
      </c>
      <c r="AA2" s="518" t="s">
        <v>240</v>
      </c>
      <c r="AB2" s="398"/>
      <c r="AC2" s="398"/>
      <c r="AD2" s="84"/>
      <c r="AE2" s="84"/>
      <c r="AF2" s="84"/>
      <c r="AG2" s="83"/>
      <c r="AH2" s="83"/>
    </row>
    <row r="3" spans="1:34" ht="11.25" customHeight="1">
      <c r="A3" s="212"/>
      <c r="B3" s="230"/>
      <c r="C3" s="519"/>
      <c r="D3" s="520"/>
      <c r="E3" s="520"/>
      <c r="F3" s="520"/>
      <c r="G3" s="520"/>
      <c r="H3" s="231"/>
      <c r="I3" s="219"/>
      <c r="J3" s="214"/>
      <c r="K3" s="81"/>
      <c r="L3" s="85"/>
      <c r="M3" s="86"/>
      <c r="N3" s="214"/>
      <c r="O3" s="214"/>
      <c r="P3" s="522">
        <f>C3</f>
        <v>0</v>
      </c>
      <c r="Q3" s="523"/>
      <c r="R3" s="523"/>
      <c r="S3" s="523"/>
      <c r="T3" s="523"/>
      <c r="U3" s="523"/>
      <c r="V3" s="523"/>
      <c r="W3" s="214"/>
      <c r="X3" s="79">
        <f>I3</f>
        <v>0</v>
      </c>
      <c r="Y3" s="79"/>
      <c r="Z3" s="80"/>
      <c r="AA3" s="81"/>
      <c r="AB3" s="87"/>
      <c r="AC3" s="83"/>
      <c r="AD3" s="84"/>
      <c r="AE3" s="84"/>
      <c r="AF3" s="84"/>
      <c r="AG3" s="83"/>
      <c r="AH3" s="83"/>
    </row>
    <row r="4" spans="2:34" ht="12" customHeight="1" thickBot="1">
      <c r="B4" s="88"/>
      <c r="C4" s="521"/>
      <c r="D4" s="521"/>
      <c r="E4" s="521"/>
      <c r="F4" s="521"/>
      <c r="G4" s="521"/>
      <c r="H4" s="88"/>
      <c r="I4" s="88"/>
      <c r="N4" s="89"/>
      <c r="O4" s="89"/>
      <c r="P4" s="413"/>
      <c r="Q4" s="413"/>
      <c r="R4" s="413"/>
      <c r="S4" s="413"/>
      <c r="T4" s="413"/>
      <c r="U4" s="413"/>
      <c r="V4" s="413"/>
      <c r="W4" s="219"/>
      <c r="X4" s="83"/>
      <c r="Y4" s="83"/>
      <c r="Z4" s="83"/>
      <c r="AA4" s="83"/>
      <c r="AB4" s="83"/>
      <c r="AC4" s="83"/>
      <c r="AD4" s="90"/>
      <c r="AE4" s="90"/>
      <c r="AF4" s="90"/>
      <c r="AG4" s="83"/>
      <c r="AH4" s="83"/>
    </row>
    <row r="5" spans="1:32" ht="51.75" customHeight="1" thickBot="1">
      <c r="A5" s="455" t="s">
        <v>1</v>
      </c>
      <c r="B5" s="456"/>
      <c r="C5" s="456"/>
      <c r="D5" s="457"/>
      <c r="E5" s="458" t="s">
        <v>54</v>
      </c>
      <c r="F5" s="459"/>
      <c r="G5" s="458" t="s">
        <v>32</v>
      </c>
      <c r="H5" s="460"/>
      <c r="I5" s="460"/>
      <c r="J5" s="460"/>
      <c r="K5" s="460"/>
      <c r="L5" s="460"/>
      <c r="M5" s="459"/>
      <c r="N5" s="461" t="s">
        <v>1</v>
      </c>
      <c r="O5" s="462"/>
      <c r="P5" s="462"/>
      <c r="Q5" s="462"/>
      <c r="R5" s="211" t="s">
        <v>31</v>
      </c>
      <c r="S5" s="213" t="s">
        <v>2</v>
      </c>
      <c r="T5" s="211" t="s">
        <v>51</v>
      </c>
      <c r="U5" s="211" t="s">
        <v>30</v>
      </c>
      <c r="V5" s="211" t="s">
        <v>49</v>
      </c>
      <c r="W5" s="211" t="s">
        <v>57</v>
      </c>
      <c r="X5" s="442" t="s">
        <v>75</v>
      </c>
      <c r="Y5" s="442"/>
      <c r="Z5" s="211" t="s">
        <v>50</v>
      </c>
      <c r="AA5" s="211" t="s">
        <v>13</v>
      </c>
      <c r="AB5" s="211" t="s">
        <v>61</v>
      </c>
      <c r="AC5" s="133" t="s">
        <v>62</v>
      </c>
      <c r="AD5" s="219"/>
      <c r="AE5" s="219"/>
      <c r="AF5" s="219"/>
    </row>
    <row r="6" spans="1:32" ht="18.75" customHeight="1">
      <c r="A6" s="443" t="s">
        <v>219</v>
      </c>
      <c r="B6" s="444"/>
      <c r="C6" s="444"/>
      <c r="D6" s="445"/>
      <c r="E6" s="446" t="s">
        <v>165</v>
      </c>
      <c r="F6" s="447"/>
      <c r="G6" s="91">
        <v>1</v>
      </c>
      <c r="H6" s="444" t="s">
        <v>231</v>
      </c>
      <c r="I6" s="500"/>
      <c r="J6" s="500"/>
      <c r="K6" s="500"/>
      <c r="L6" s="500"/>
      <c r="M6" s="501"/>
      <c r="N6" s="429" t="str">
        <f aca="true" t="shared" si="0" ref="N6:N21">A6</f>
        <v>Chicken, Breast, Raw, Boneless-skinless, </v>
      </c>
      <c r="O6" s="430"/>
      <c r="P6" s="430"/>
      <c r="Q6" s="430"/>
      <c r="R6" s="232">
        <f>5/50</f>
        <v>0.1</v>
      </c>
      <c r="S6" s="161" t="s">
        <v>80</v>
      </c>
      <c r="T6" s="162">
        <f>R6*X2</f>
        <v>5</v>
      </c>
      <c r="U6" s="172">
        <f>(X2*R6)/AA6</f>
        <v>5</v>
      </c>
      <c r="V6" s="164" t="s">
        <v>236</v>
      </c>
      <c r="W6" s="165">
        <v>50.98</v>
      </c>
      <c r="X6" s="166">
        <f>U6/1</f>
        <v>5</v>
      </c>
      <c r="Y6" s="166" t="s">
        <v>80</v>
      </c>
      <c r="Z6" s="167">
        <f>(W6/20)*X6</f>
        <v>12.745</v>
      </c>
      <c r="AA6" s="168">
        <v>1</v>
      </c>
      <c r="AB6" s="169">
        <f>Z6/X2</f>
        <v>0.25489999999999996</v>
      </c>
      <c r="AC6" s="170">
        <f>X2*AB6</f>
        <v>12.744999999999997</v>
      </c>
      <c r="AD6" s="103"/>
      <c r="AE6" s="103"/>
      <c r="AF6" s="103"/>
    </row>
    <row r="7" spans="1:32" ht="18.75" customHeight="1">
      <c r="A7" s="431" t="s">
        <v>220</v>
      </c>
      <c r="B7" s="432"/>
      <c r="C7" s="432"/>
      <c r="D7" s="433"/>
      <c r="E7" s="436" t="s">
        <v>221</v>
      </c>
      <c r="F7" s="435"/>
      <c r="G7" s="91">
        <v>2</v>
      </c>
      <c r="H7" s="432" t="s">
        <v>232</v>
      </c>
      <c r="I7" s="483"/>
      <c r="J7" s="483"/>
      <c r="K7" s="483"/>
      <c r="L7" s="483"/>
      <c r="M7" s="484"/>
      <c r="N7" s="429" t="str">
        <f t="shared" si="0"/>
        <v>Onion, Red, Fresh </v>
      </c>
      <c r="O7" s="430"/>
      <c r="P7" s="430"/>
      <c r="Q7" s="430"/>
      <c r="R7" s="232">
        <f>2/50</f>
        <v>0.04</v>
      </c>
      <c r="S7" s="161" t="s">
        <v>80</v>
      </c>
      <c r="T7" s="176">
        <f>X2*R7</f>
        <v>2</v>
      </c>
      <c r="U7" s="172">
        <f>(X2*R7)/AA7</f>
        <v>2.2222222222222223</v>
      </c>
      <c r="V7" s="164" t="s">
        <v>163</v>
      </c>
      <c r="W7" s="165">
        <v>17.97</v>
      </c>
      <c r="X7" s="166">
        <f>U7/1</f>
        <v>2.2222222222222223</v>
      </c>
      <c r="Y7" s="166" t="s">
        <v>80</v>
      </c>
      <c r="Z7" s="167">
        <f>(W7/25)*X7</f>
        <v>1.5973333333333335</v>
      </c>
      <c r="AA7" s="168">
        <v>0.9</v>
      </c>
      <c r="AB7" s="169">
        <f>Z7/X2</f>
        <v>0.03194666666666667</v>
      </c>
      <c r="AC7" s="170">
        <f>X2*AB7</f>
        <v>1.5973333333333335</v>
      </c>
      <c r="AD7" s="103"/>
      <c r="AE7" s="103"/>
      <c r="AF7" s="103"/>
    </row>
    <row r="8" spans="1:32" ht="18.75" customHeight="1">
      <c r="A8" s="431" t="s">
        <v>222</v>
      </c>
      <c r="B8" s="432"/>
      <c r="C8" s="432"/>
      <c r="D8" s="433"/>
      <c r="E8" s="434" t="s">
        <v>137</v>
      </c>
      <c r="F8" s="435"/>
      <c r="G8" s="91">
        <v>3</v>
      </c>
      <c r="H8" s="432" t="s">
        <v>233</v>
      </c>
      <c r="I8" s="483"/>
      <c r="J8" s="483"/>
      <c r="K8" s="483"/>
      <c r="L8" s="483"/>
      <c r="M8" s="484"/>
      <c r="N8" s="429" t="str">
        <f>A8</f>
        <v>Olive, Oil</v>
      </c>
      <c r="O8" s="430"/>
      <c r="P8" s="430"/>
      <c r="Q8" s="430"/>
      <c r="R8" s="79">
        <f>1/50</f>
        <v>0.02</v>
      </c>
      <c r="S8" s="161" t="s">
        <v>67</v>
      </c>
      <c r="T8" s="162">
        <f>X2*R8</f>
        <v>1</v>
      </c>
      <c r="U8" s="172">
        <f>(X2*R8)/AA8</f>
        <v>1</v>
      </c>
      <c r="V8" s="164" t="s">
        <v>166</v>
      </c>
      <c r="W8" s="165">
        <v>20.04</v>
      </c>
      <c r="X8" s="166">
        <f>U8/1</f>
        <v>1</v>
      </c>
      <c r="Y8" s="166" t="s">
        <v>67</v>
      </c>
      <c r="Z8" s="167">
        <f>(W8/16)*X8</f>
        <v>1.2525</v>
      </c>
      <c r="AA8" s="168">
        <v>1</v>
      </c>
      <c r="AB8" s="169">
        <f>Z8/X2</f>
        <v>0.02505</v>
      </c>
      <c r="AC8" s="170">
        <f>X2*AB8</f>
        <v>1.2525</v>
      </c>
      <c r="AD8" s="103"/>
      <c r="AE8" s="103"/>
      <c r="AF8" s="103"/>
    </row>
    <row r="9" spans="1:32" ht="18.75" customHeight="1">
      <c r="A9" s="431" t="s">
        <v>193</v>
      </c>
      <c r="B9" s="432"/>
      <c r="C9" s="432"/>
      <c r="D9" s="433"/>
      <c r="E9" s="436" t="s">
        <v>223</v>
      </c>
      <c r="F9" s="435"/>
      <c r="G9" s="91">
        <v>4</v>
      </c>
      <c r="H9" s="432" t="s">
        <v>234</v>
      </c>
      <c r="I9" s="483"/>
      <c r="J9" s="483"/>
      <c r="K9" s="483"/>
      <c r="L9" s="483"/>
      <c r="M9" s="484"/>
      <c r="N9" s="429" t="str">
        <f t="shared" si="0"/>
        <v>Balsamic Vinegar</v>
      </c>
      <c r="O9" s="430"/>
      <c r="P9" s="430"/>
      <c r="Q9" s="430"/>
      <c r="R9" s="79">
        <f>29/50</f>
        <v>0.58</v>
      </c>
      <c r="S9" s="161" t="s">
        <v>237</v>
      </c>
      <c r="T9" s="162">
        <f>X2*R9</f>
        <v>28.999999999999996</v>
      </c>
      <c r="U9" s="172">
        <f>(X2*R9)/AA9</f>
        <v>28.999999999999996</v>
      </c>
      <c r="V9" s="164" t="s">
        <v>214</v>
      </c>
      <c r="W9" s="165">
        <v>23.82</v>
      </c>
      <c r="X9" s="166">
        <f>U9/6</f>
        <v>4.833333333333333</v>
      </c>
      <c r="Y9" s="166" t="s">
        <v>217</v>
      </c>
      <c r="Z9" s="167">
        <f>(W9/33.8/10)*X9</f>
        <v>0.34062130177514793</v>
      </c>
      <c r="AA9" s="168">
        <v>1</v>
      </c>
      <c r="AB9" s="169">
        <f>Z9/X2</f>
        <v>0.006812426035502959</v>
      </c>
      <c r="AC9" s="170">
        <f>X2*AB9</f>
        <v>0.34062130177514793</v>
      </c>
      <c r="AD9" s="103"/>
      <c r="AE9" s="103"/>
      <c r="AF9" s="103"/>
    </row>
    <row r="10" spans="1:32" ht="20.25" customHeight="1">
      <c r="A10" s="431" t="s">
        <v>224</v>
      </c>
      <c r="B10" s="432"/>
      <c r="C10" s="432"/>
      <c r="D10" s="433"/>
      <c r="E10" s="436" t="s">
        <v>225</v>
      </c>
      <c r="F10" s="435"/>
      <c r="G10" s="91">
        <v>5</v>
      </c>
      <c r="H10" s="432" t="s">
        <v>235</v>
      </c>
      <c r="I10" s="494"/>
      <c r="J10" s="494"/>
      <c r="K10" s="494"/>
      <c r="L10" s="494"/>
      <c r="M10" s="495"/>
      <c r="N10" s="429" t="str">
        <f t="shared" si="0"/>
        <v>Thyme, Ground</v>
      </c>
      <c r="O10" s="430"/>
      <c r="P10" s="430"/>
      <c r="Q10" s="430"/>
      <c r="R10" s="174">
        <f>10/50</f>
        <v>0.2</v>
      </c>
      <c r="S10" s="161" t="s">
        <v>96</v>
      </c>
      <c r="T10" s="162">
        <f>X2*R10</f>
        <v>10</v>
      </c>
      <c r="U10" s="172">
        <f>(X2*R10)/AA10</f>
        <v>10</v>
      </c>
      <c r="V10" s="164" t="s">
        <v>238</v>
      </c>
      <c r="W10" s="165">
        <v>6.52</v>
      </c>
      <c r="X10" s="166">
        <f>U10/2</f>
        <v>5</v>
      </c>
      <c r="Y10" s="166" t="s">
        <v>217</v>
      </c>
      <c r="Z10" s="167">
        <f>(W10/7)*X10</f>
        <v>4.657142857142857</v>
      </c>
      <c r="AA10" s="168">
        <v>1</v>
      </c>
      <c r="AB10" s="169">
        <f>Z10/X2</f>
        <v>0.09314285714285714</v>
      </c>
      <c r="AC10" s="170">
        <f>X2*AB10</f>
        <v>4.657142857142857</v>
      </c>
      <c r="AD10" s="103"/>
      <c r="AE10" s="103"/>
      <c r="AF10" s="103"/>
    </row>
    <row r="11" spans="1:32" ht="18.75" customHeight="1">
      <c r="A11" s="431" t="s">
        <v>226</v>
      </c>
      <c r="B11" s="432"/>
      <c r="C11" s="432"/>
      <c r="D11" s="433"/>
      <c r="E11" s="436" t="s">
        <v>228</v>
      </c>
      <c r="F11" s="435"/>
      <c r="G11" s="91"/>
      <c r="H11" s="432"/>
      <c r="I11" s="494"/>
      <c r="J11" s="494"/>
      <c r="K11" s="494"/>
      <c r="L11" s="494"/>
      <c r="M11" s="495"/>
      <c r="N11" s="438" t="str">
        <f t="shared" si="0"/>
        <v>Roasted Red Peppers </v>
      </c>
      <c r="O11" s="439"/>
      <c r="P11" s="439"/>
      <c r="Q11" s="439"/>
      <c r="R11" s="79">
        <v>0.02</v>
      </c>
      <c r="S11" s="161" t="s">
        <v>80</v>
      </c>
      <c r="T11" s="162">
        <f>X2*R11</f>
        <v>1</v>
      </c>
      <c r="U11" s="172">
        <f>(X2*R11)/AA11</f>
        <v>1</v>
      </c>
      <c r="V11" s="233" t="s">
        <v>506</v>
      </c>
      <c r="W11" s="165">
        <v>31.34</v>
      </c>
      <c r="X11" s="166">
        <f>U11*16</f>
        <v>16</v>
      </c>
      <c r="Y11" s="166" t="s">
        <v>80</v>
      </c>
      <c r="Z11" s="167">
        <f>(W11/12/28)*X11</f>
        <v>1.4923809523809524</v>
      </c>
      <c r="AA11" s="168">
        <v>1</v>
      </c>
      <c r="AB11" s="169">
        <f>Z11/X2</f>
        <v>0.029847619047619046</v>
      </c>
      <c r="AC11" s="170">
        <f>X2*AB11</f>
        <v>1.4923809523809524</v>
      </c>
      <c r="AD11" s="103"/>
      <c r="AE11" s="103"/>
      <c r="AF11" s="103"/>
    </row>
    <row r="12" spans="1:32" ht="18.75" customHeight="1">
      <c r="A12" s="431" t="s">
        <v>230</v>
      </c>
      <c r="B12" s="432"/>
      <c r="C12" s="432"/>
      <c r="D12" s="433"/>
      <c r="E12" s="436" t="s">
        <v>94</v>
      </c>
      <c r="F12" s="435"/>
      <c r="G12" s="91"/>
      <c r="H12" s="432"/>
      <c r="I12" s="494"/>
      <c r="J12" s="494"/>
      <c r="K12" s="494"/>
      <c r="L12" s="494"/>
      <c r="M12" s="495"/>
      <c r="N12" s="431" t="str">
        <f>A12</f>
        <v>Granulated Garlic</v>
      </c>
      <c r="O12" s="437"/>
      <c r="P12" s="437"/>
      <c r="Q12" s="437"/>
      <c r="R12" s="232">
        <v>0.06</v>
      </c>
      <c r="S12" s="161" t="s">
        <v>215</v>
      </c>
      <c r="T12" s="162">
        <f>X2*R12</f>
        <v>3</v>
      </c>
      <c r="U12" s="172">
        <f>(X2*R12)/AA12</f>
        <v>3</v>
      </c>
      <c r="V12" s="234" t="s">
        <v>507</v>
      </c>
      <c r="W12" s="165">
        <v>7.2</v>
      </c>
      <c r="X12" s="166">
        <f>U12/2</f>
        <v>1.5</v>
      </c>
      <c r="Y12" s="166" t="s">
        <v>217</v>
      </c>
      <c r="Z12" s="167">
        <f>(W12/24*X12)</f>
        <v>0.44999999999999996</v>
      </c>
      <c r="AA12" s="168">
        <v>1</v>
      </c>
      <c r="AB12" s="169">
        <f>Z12/X2</f>
        <v>0.009</v>
      </c>
      <c r="AC12" s="170">
        <f>X2*AB12</f>
        <v>0.44999999999999996</v>
      </c>
      <c r="AD12" s="103"/>
      <c r="AE12" s="103"/>
      <c r="AF12" s="103"/>
    </row>
    <row r="13" spans="1:32" ht="18.75" customHeight="1">
      <c r="A13" s="431" t="s">
        <v>99</v>
      </c>
      <c r="B13" s="432"/>
      <c r="C13" s="432"/>
      <c r="D13" s="433"/>
      <c r="E13" s="434" t="s">
        <v>229</v>
      </c>
      <c r="F13" s="435"/>
      <c r="G13" s="91"/>
      <c r="H13" s="432"/>
      <c r="I13" s="483"/>
      <c r="J13" s="483"/>
      <c r="K13" s="483"/>
      <c r="L13" s="483"/>
      <c r="M13" s="484"/>
      <c r="N13" s="429" t="str">
        <f t="shared" si="0"/>
        <v>Salt</v>
      </c>
      <c r="O13" s="430"/>
      <c r="P13" s="430"/>
      <c r="Q13" s="430"/>
      <c r="R13" s="79"/>
      <c r="S13" s="161"/>
      <c r="T13" s="162">
        <f>X2*R13</f>
        <v>0</v>
      </c>
      <c r="U13" s="172">
        <f>(X2*R13)/AA13</f>
        <v>0</v>
      </c>
      <c r="V13" s="164"/>
      <c r="W13" s="165"/>
      <c r="X13" s="166">
        <f>U13/1</f>
        <v>0</v>
      </c>
      <c r="Y13" s="166"/>
      <c r="Z13" s="167">
        <f>(W13/24)*X13</f>
        <v>0</v>
      </c>
      <c r="AA13" s="168">
        <v>1</v>
      </c>
      <c r="AB13" s="169">
        <f>Z13/X2</f>
        <v>0</v>
      </c>
      <c r="AC13" s="170">
        <f>X2*AB13</f>
        <v>0</v>
      </c>
      <c r="AD13" s="103"/>
      <c r="AE13" s="103"/>
      <c r="AF13" s="103"/>
    </row>
    <row r="14" spans="1:32" ht="18.75" customHeight="1">
      <c r="A14" s="431" t="s">
        <v>227</v>
      </c>
      <c r="B14" s="432"/>
      <c r="C14" s="432"/>
      <c r="D14" s="433"/>
      <c r="E14" s="434" t="s">
        <v>229</v>
      </c>
      <c r="F14" s="435"/>
      <c r="G14" s="91"/>
      <c r="H14" s="432"/>
      <c r="I14" s="483"/>
      <c r="J14" s="483"/>
      <c r="K14" s="483"/>
      <c r="L14" s="483"/>
      <c r="M14" s="484"/>
      <c r="N14" s="429" t="str">
        <f t="shared" si="0"/>
        <v>Black Pepper</v>
      </c>
      <c r="O14" s="430"/>
      <c r="P14" s="430"/>
      <c r="Q14" s="430"/>
      <c r="R14" s="79"/>
      <c r="S14" s="161"/>
      <c r="T14" s="162">
        <f>X2*R14</f>
        <v>0</v>
      </c>
      <c r="U14" s="172">
        <f>(X2*R14)/AA14</f>
        <v>0</v>
      </c>
      <c r="V14" s="164"/>
      <c r="W14" s="165"/>
      <c r="X14" s="166">
        <f>U14/1</f>
        <v>0</v>
      </c>
      <c r="Y14" s="166"/>
      <c r="Z14" s="167">
        <f>(W14/5)*X14</f>
        <v>0</v>
      </c>
      <c r="AA14" s="168">
        <v>1</v>
      </c>
      <c r="AB14" s="169">
        <f>Z14/X2</f>
        <v>0</v>
      </c>
      <c r="AC14" s="170">
        <f>X2*AB14</f>
        <v>0</v>
      </c>
      <c r="AD14" s="103"/>
      <c r="AE14" s="103"/>
      <c r="AF14" s="103"/>
    </row>
    <row r="15" spans="1:32" ht="18.75" customHeight="1">
      <c r="A15" s="431" t="s">
        <v>173</v>
      </c>
      <c r="B15" s="432"/>
      <c r="C15" s="432"/>
      <c r="D15" s="433"/>
      <c r="E15" s="434"/>
      <c r="F15" s="435"/>
      <c r="G15" s="91"/>
      <c r="H15" s="432"/>
      <c r="I15" s="483"/>
      <c r="J15" s="483"/>
      <c r="K15" s="483"/>
      <c r="L15" s="483"/>
      <c r="M15" s="484"/>
      <c r="N15" s="429" t="str">
        <f t="shared" si="0"/>
        <v>Baquette Bread</v>
      </c>
      <c r="O15" s="430"/>
      <c r="P15" s="430"/>
      <c r="Q15" s="430"/>
      <c r="R15" s="79"/>
      <c r="S15" s="161"/>
      <c r="T15" s="162">
        <f>X2*R15</f>
        <v>0</v>
      </c>
      <c r="U15" s="172">
        <f>(X2*R15)/AA15</f>
        <v>0</v>
      </c>
      <c r="V15" s="164"/>
      <c r="W15" s="165"/>
      <c r="X15" s="166">
        <f>U15/1</f>
        <v>0</v>
      </c>
      <c r="Y15" s="166"/>
      <c r="Z15" s="167">
        <f>(W15/5)*X15</f>
        <v>0</v>
      </c>
      <c r="AA15" s="168">
        <v>1</v>
      </c>
      <c r="AB15" s="169">
        <f>Z15/X2</f>
        <v>0</v>
      </c>
      <c r="AC15" s="170">
        <f>X2*AB15</f>
        <v>0</v>
      </c>
      <c r="AD15" s="103"/>
      <c r="AE15" s="103"/>
      <c r="AF15" s="103"/>
    </row>
    <row r="16" spans="1:32" ht="18.75" customHeight="1">
      <c r="A16" s="431"/>
      <c r="B16" s="432"/>
      <c r="C16" s="432"/>
      <c r="D16" s="433"/>
      <c r="E16" s="434"/>
      <c r="F16" s="435"/>
      <c r="G16" s="91"/>
      <c r="H16" s="432"/>
      <c r="I16" s="483"/>
      <c r="J16" s="483"/>
      <c r="K16" s="483"/>
      <c r="L16" s="483"/>
      <c r="M16" s="484"/>
      <c r="N16" s="429">
        <f t="shared" si="0"/>
        <v>0</v>
      </c>
      <c r="O16" s="430"/>
      <c r="P16" s="430"/>
      <c r="Q16" s="430"/>
      <c r="R16" s="79"/>
      <c r="S16" s="161"/>
      <c r="T16" s="162">
        <f>X2*R16</f>
        <v>0</v>
      </c>
      <c r="U16" s="172">
        <f>(X2*R16)/AA16</f>
        <v>0</v>
      </c>
      <c r="V16" s="164"/>
      <c r="W16" s="165"/>
      <c r="X16" s="166">
        <f>U16/1</f>
        <v>0</v>
      </c>
      <c r="Y16" s="166"/>
      <c r="Z16" s="167">
        <f aca="true" t="shared" si="1" ref="Z16:Z21">W16*X16</f>
        <v>0</v>
      </c>
      <c r="AA16" s="168">
        <v>1</v>
      </c>
      <c r="AB16" s="169">
        <f>Z16/X2</f>
        <v>0</v>
      </c>
      <c r="AC16" s="170">
        <f>X2*AB16</f>
        <v>0</v>
      </c>
      <c r="AD16" s="103"/>
      <c r="AE16" s="103"/>
      <c r="AF16" s="103"/>
    </row>
    <row r="17" spans="1:32" ht="18.75" customHeight="1">
      <c r="A17" s="431"/>
      <c r="B17" s="432"/>
      <c r="C17" s="432"/>
      <c r="D17" s="433"/>
      <c r="E17" s="434"/>
      <c r="F17" s="435"/>
      <c r="G17" s="91"/>
      <c r="H17" s="432"/>
      <c r="I17" s="483"/>
      <c r="J17" s="483"/>
      <c r="K17" s="483"/>
      <c r="L17" s="483"/>
      <c r="M17" s="484"/>
      <c r="N17" s="429">
        <f t="shared" si="0"/>
        <v>0</v>
      </c>
      <c r="O17" s="430"/>
      <c r="P17" s="430"/>
      <c r="Q17" s="430"/>
      <c r="R17" s="79"/>
      <c r="S17" s="161"/>
      <c r="T17" s="162">
        <f>X2*R17</f>
        <v>0</v>
      </c>
      <c r="U17" s="172">
        <f>(X2*R17)/AA17</f>
        <v>0</v>
      </c>
      <c r="V17" s="164"/>
      <c r="W17" s="165"/>
      <c r="X17" s="166">
        <f>U17/1</f>
        <v>0</v>
      </c>
      <c r="Y17" s="166"/>
      <c r="Z17" s="167">
        <f t="shared" si="1"/>
        <v>0</v>
      </c>
      <c r="AA17" s="168">
        <v>1</v>
      </c>
      <c r="AB17" s="169">
        <f>Z17/X2</f>
        <v>0</v>
      </c>
      <c r="AC17" s="170">
        <f>X2*AB17</f>
        <v>0</v>
      </c>
      <c r="AD17" s="103"/>
      <c r="AE17" s="103"/>
      <c r="AF17" s="103"/>
    </row>
    <row r="18" spans="1:32" ht="18.75" customHeight="1">
      <c r="A18" s="431"/>
      <c r="B18" s="432"/>
      <c r="C18" s="432"/>
      <c r="D18" s="433"/>
      <c r="E18" s="434"/>
      <c r="F18" s="435"/>
      <c r="G18" s="91"/>
      <c r="H18" s="432"/>
      <c r="I18" s="483"/>
      <c r="J18" s="483"/>
      <c r="K18" s="483"/>
      <c r="L18" s="483"/>
      <c r="M18" s="484"/>
      <c r="N18" s="429">
        <f t="shared" si="0"/>
        <v>0</v>
      </c>
      <c r="O18" s="430"/>
      <c r="P18" s="430"/>
      <c r="Q18" s="430"/>
      <c r="R18" s="79"/>
      <c r="S18" s="161"/>
      <c r="T18" s="162">
        <f>X2*R18</f>
        <v>0</v>
      </c>
      <c r="U18" s="177">
        <f>(X2*R18)/AA18</f>
        <v>0</v>
      </c>
      <c r="V18" s="164"/>
      <c r="W18" s="165"/>
      <c r="X18" s="166">
        <f>U18/20</f>
        <v>0</v>
      </c>
      <c r="Y18" s="166"/>
      <c r="Z18" s="167">
        <f t="shared" si="1"/>
        <v>0</v>
      </c>
      <c r="AA18" s="168">
        <v>1</v>
      </c>
      <c r="AB18" s="169">
        <f>Z18/X2</f>
        <v>0</v>
      </c>
      <c r="AC18" s="170">
        <f>X2*AB18</f>
        <v>0</v>
      </c>
      <c r="AD18" s="103"/>
      <c r="AE18" s="103"/>
      <c r="AF18" s="103"/>
    </row>
    <row r="19" spans="1:32" ht="18.75" customHeight="1">
      <c r="A19" s="431"/>
      <c r="B19" s="432"/>
      <c r="C19" s="432"/>
      <c r="D19" s="433"/>
      <c r="E19" s="434"/>
      <c r="F19" s="435"/>
      <c r="G19" s="91"/>
      <c r="H19" s="432"/>
      <c r="I19" s="483"/>
      <c r="J19" s="483"/>
      <c r="K19" s="483"/>
      <c r="L19" s="483"/>
      <c r="M19" s="484"/>
      <c r="N19" s="429">
        <f t="shared" si="0"/>
        <v>0</v>
      </c>
      <c r="O19" s="430"/>
      <c r="P19" s="430"/>
      <c r="Q19" s="430"/>
      <c r="R19" s="79"/>
      <c r="S19" s="161"/>
      <c r="T19" s="162">
        <f>X2*R19</f>
        <v>0</v>
      </c>
      <c r="U19" s="177">
        <f>(X2*R19)/AA19</f>
        <v>0</v>
      </c>
      <c r="V19" s="164"/>
      <c r="W19" s="165"/>
      <c r="X19" s="166">
        <f>U19/50</f>
        <v>0</v>
      </c>
      <c r="Y19" s="166"/>
      <c r="Z19" s="167">
        <f t="shared" si="1"/>
        <v>0</v>
      </c>
      <c r="AA19" s="168">
        <v>1</v>
      </c>
      <c r="AB19" s="169">
        <f>Z19/X2</f>
        <v>0</v>
      </c>
      <c r="AC19" s="170">
        <f>X2*AB19</f>
        <v>0</v>
      </c>
      <c r="AD19" s="103"/>
      <c r="AE19" s="103"/>
      <c r="AF19" s="103"/>
    </row>
    <row r="20" spans="1:32" ht="18.75" customHeight="1">
      <c r="A20" s="431"/>
      <c r="B20" s="432"/>
      <c r="C20" s="432"/>
      <c r="D20" s="433"/>
      <c r="E20" s="434"/>
      <c r="F20" s="435"/>
      <c r="G20" s="91"/>
      <c r="H20" s="432"/>
      <c r="I20" s="483"/>
      <c r="J20" s="483"/>
      <c r="K20" s="483"/>
      <c r="L20" s="483"/>
      <c r="M20" s="484"/>
      <c r="N20" s="429">
        <f t="shared" si="0"/>
        <v>0</v>
      </c>
      <c r="O20" s="430"/>
      <c r="P20" s="430"/>
      <c r="Q20" s="430"/>
      <c r="R20" s="79"/>
      <c r="S20" s="161"/>
      <c r="T20" s="162">
        <f>X2*R20</f>
        <v>0</v>
      </c>
      <c r="U20" s="177">
        <f>(X2*R20)/AA20</f>
        <v>0</v>
      </c>
      <c r="V20" s="164"/>
      <c r="W20" s="165"/>
      <c r="X20" s="166">
        <f>U20/1</f>
        <v>0</v>
      </c>
      <c r="Y20" s="166"/>
      <c r="Z20" s="167">
        <f t="shared" si="1"/>
        <v>0</v>
      </c>
      <c r="AA20" s="168">
        <v>1</v>
      </c>
      <c r="AB20" s="169">
        <f>Z20/X2</f>
        <v>0</v>
      </c>
      <c r="AC20" s="170">
        <f>X2*AB20</f>
        <v>0</v>
      </c>
      <c r="AD20" s="103"/>
      <c r="AE20" s="103"/>
      <c r="AF20" s="103"/>
    </row>
    <row r="21" spans="1:32" ht="25.5" customHeight="1">
      <c r="A21" s="431"/>
      <c r="B21" s="432"/>
      <c r="C21" s="432"/>
      <c r="D21" s="433"/>
      <c r="E21" s="434"/>
      <c r="F21" s="435"/>
      <c r="G21" s="91"/>
      <c r="H21" s="432"/>
      <c r="I21" s="483"/>
      <c r="J21" s="483"/>
      <c r="K21" s="483"/>
      <c r="L21" s="483"/>
      <c r="M21" s="484"/>
      <c r="N21" s="429">
        <f t="shared" si="0"/>
        <v>0</v>
      </c>
      <c r="O21" s="430"/>
      <c r="P21" s="430"/>
      <c r="Q21" s="430"/>
      <c r="R21" s="79"/>
      <c r="S21" s="161"/>
      <c r="T21" s="162">
        <f>X2*R21</f>
        <v>0</v>
      </c>
      <c r="U21" s="177">
        <f>(X2*R21)/AA21</f>
        <v>0</v>
      </c>
      <c r="V21" s="164"/>
      <c r="W21" s="165"/>
      <c r="X21" s="166">
        <f>U21/1</f>
        <v>0</v>
      </c>
      <c r="Y21" s="166"/>
      <c r="Z21" s="167">
        <f t="shared" si="1"/>
        <v>0</v>
      </c>
      <c r="AA21" s="168">
        <v>1</v>
      </c>
      <c r="AB21" s="169">
        <f>Z21/X2</f>
        <v>0</v>
      </c>
      <c r="AC21" s="170">
        <f>X2*AB21</f>
        <v>0</v>
      </c>
      <c r="AD21" s="103"/>
      <c r="AE21" s="103"/>
      <c r="AF21" s="103"/>
    </row>
    <row r="22" spans="1:32" ht="18.75" customHeight="1" thickBot="1">
      <c r="A22" s="487"/>
      <c r="B22" s="488"/>
      <c r="C22" s="488"/>
      <c r="D22" s="489"/>
      <c r="E22" s="434"/>
      <c r="F22" s="435"/>
      <c r="G22" s="110"/>
      <c r="H22" s="488"/>
      <c r="I22" s="490"/>
      <c r="J22" s="490"/>
      <c r="K22" s="490"/>
      <c r="L22" s="490"/>
      <c r="M22" s="491"/>
      <c r="N22" s="485"/>
      <c r="O22" s="486"/>
      <c r="P22" s="486"/>
      <c r="Q22" s="486"/>
      <c r="R22" s="104"/>
      <c r="S22" s="93"/>
      <c r="T22" s="94"/>
      <c r="U22" s="109"/>
      <c r="V22" s="96"/>
      <c r="W22" s="97"/>
      <c r="X22" s="94"/>
      <c r="Y22" s="94"/>
      <c r="Z22" s="99"/>
      <c r="AA22" s="106"/>
      <c r="AB22" s="101"/>
      <c r="AC22" s="107"/>
      <c r="AD22" s="103"/>
      <c r="AE22" s="103"/>
      <c r="AF22" s="103"/>
    </row>
    <row r="23" spans="1:32" ht="25.5" customHeight="1" thickBot="1">
      <c r="A23" s="111"/>
      <c r="B23" s="112"/>
      <c r="C23" s="112"/>
      <c r="D23" s="112"/>
      <c r="E23" s="112"/>
      <c r="F23" s="112"/>
      <c r="G23" s="112"/>
      <c r="H23" s="112"/>
      <c r="I23" s="112"/>
      <c r="J23" s="112"/>
      <c r="K23" s="113"/>
      <c r="L23" s="215"/>
      <c r="M23" s="215"/>
      <c r="N23" s="422" t="s">
        <v>47</v>
      </c>
      <c r="O23" s="423"/>
      <c r="P23" s="423"/>
      <c r="Q23" s="424"/>
      <c r="R23" s="425" t="s">
        <v>7</v>
      </c>
      <c r="S23" s="424"/>
      <c r="T23" s="424"/>
      <c r="U23" s="424"/>
      <c r="V23" s="424"/>
      <c r="W23" s="424"/>
      <c r="X23" s="424"/>
      <c r="Y23" s="424"/>
      <c r="Z23" s="424"/>
      <c r="AA23" s="424"/>
      <c r="AB23" s="424"/>
      <c r="AC23" s="115">
        <f>ROUNDUP(SUM(AC6:AC22),5)</f>
        <v>22.53498</v>
      </c>
      <c r="AD23" s="103"/>
      <c r="AE23" s="103"/>
      <c r="AF23" s="103"/>
    </row>
    <row r="24" spans="1:32" ht="20.25" customHeight="1">
      <c r="A24" s="478" t="s">
        <v>45</v>
      </c>
      <c r="B24" s="479"/>
      <c r="C24" s="479"/>
      <c r="D24" s="479"/>
      <c r="E24" s="479"/>
      <c r="F24" s="479"/>
      <c r="G24" s="479"/>
      <c r="H24" s="479"/>
      <c r="I24" s="479"/>
      <c r="J24" s="479"/>
      <c r="K24" s="480"/>
      <c r="L24" s="116"/>
      <c r="M24" s="116"/>
      <c r="N24" s="524"/>
      <c r="O24" s="525"/>
      <c r="P24" s="525"/>
      <c r="Q24" s="525"/>
      <c r="R24" s="134"/>
      <c r="S24" s="134"/>
      <c r="T24" s="134"/>
      <c r="U24" s="134"/>
      <c r="V24" s="134"/>
      <c r="W24" s="135" t="s">
        <v>9</v>
      </c>
      <c r="X24" s="135"/>
      <c r="Y24" s="135"/>
      <c r="Z24" s="135"/>
      <c r="AA24" s="135"/>
      <c r="AB24" s="135"/>
      <c r="AC24" s="117">
        <f>ROUND(AC23*10/100,5)</f>
        <v>2.2535</v>
      </c>
      <c r="AD24" s="103"/>
      <c r="AE24" s="103"/>
      <c r="AF24" s="103"/>
    </row>
    <row r="25" spans="1:32" ht="30" customHeight="1" thickBot="1">
      <c r="A25" s="409" t="s">
        <v>42</v>
      </c>
      <c r="B25" s="481"/>
      <c r="C25" s="481"/>
      <c r="D25" s="481"/>
      <c r="E25" s="481"/>
      <c r="F25" s="218"/>
      <c r="G25" s="411" t="s">
        <v>46</v>
      </c>
      <c r="H25" s="411"/>
      <c r="I25" s="411"/>
      <c r="J25" s="481"/>
      <c r="K25" s="482"/>
      <c r="L25" s="218"/>
      <c r="M25" s="218"/>
      <c r="N25" s="119"/>
      <c r="O25" s="217"/>
      <c r="P25" s="507"/>
      <c r="Q25" s="507"/>
      <c r="R25" s="138"/>
      <c r="S25" s="138"/>
      <c r="T25" s="138"/>
      <c r="U25" s="138"/>
      <c r="V25" s="138"/>
      <c r="W25" s="139" t="s">
        <v>6</v>
      </c>
      <c r="X25" s="139"/>
      <c r="Y25" s="139"/>
      <c r="Z25" s="139"/>
      <c r="AA25" s="139"/>
      <c r="AB25" s="139"/>
      <c r="AC25" s="120">
        <f>AC23+AC24</f>
        <v>24.78848</v>
      </c>
      <c r="AD25" s="103"/>
      <c r="AE25" s="103"/>
      <c r="AF25" s="103"/>
    </row>
    <row r="26" spans="18:32" ht="7.5" customHeight="1" thickBot="1">
      <c r="R26" s="399"/>
      <c r="S26" s="399"/>
      <c r="T26" s="219"/>
      <c r="U26" s="219"/>
      <c r="V26" s="219"/>
      <c r="W26" s="219"/>
      <c r="X26" s="219"/>
      <c r="Y26" s="219"/>
      <c r="Z26" s="219"/>
      <c r="AA26" s="214"/>
      <c r="AB26" s="214"/>
      <c r="AC26" s="214"/>
      <c r="AD26" s="70"/>
      <c r="AE26" s="70"/>
      <c r="AF26" s="70"/>
    </row>
    <row r="27" spans="1:32" ht="20.25" customHeight="1">
      <c r="A27" s="220" t="s">
        <v>35</v>
      </c>
      <c r="B27" s="393" t="s">
        <v>36</v>
      </c>
      <c r="C27" s="393"/>
      <c r="D27" s="63" t="s">
        <v>37</v>
      </c>
      <c r="E27" s="63" t="s">
        <v>38</v>
      </c>
      <c r="F27" s="63" t="s">
        <v>39</v>
      </c>
      <c r="G27" s="393" t="s">
        <v>40</v>
      </c>
      <c r="H27" s="393"/>
      <c r="I27" s="393" t="s">
        <v>41</v>
      </c>
      <c r="J27" s="393"/>
      <c r="K27" s="393" t="s">
        <v>52</v>
      </c>
      <c r="L27" s="393"/>
      <c r="M27" s="220" t="s">
        <v>135</v>
      </c>
      <c r="N27" s="401" t="s">
        <v>5</v>
      </c>
      <c r="O27" s="401"/>
      <c r="P27" s="401"/>
      <c r="Q27" s="215"/>
      <c r="R27" s="402"/>
      <c r="S27" s="403"/>
      <c r="T27" s="221"/>
      <c r="U27" s="221"/>
      <c r="V27" s="221"/>
      <c r="W27" s="391" t="s">
        <v>68</v>
      </c>
      <c r="X27" s="392"/>
      <c r="Y27" s="392"/>
      <c r="Z27" s="392"/>
      <c r="AA27" s="189"/>
      <c r="AB27" s="189"/>
      <c r="AC27" s="190">
        <f>AC25/X2</f>
        <v>0.4957696</v>
      </c>
      <c r="AD27" s="122"/>
      <c r="AE27" s="122"/>
      <c r="AF27" s="122"/>
    </row>
    <row r="28" spans="1:32" ht="37.5" customHeight="1">
      <c r="A28" s="220"/>
      <c r="B28" s="393"/>
      <c r="C28" s="393"/>
      <c r="D28" s="63"/>
      <c r="E28" s="63"/>
      <c r="F28" s="63"/>
      <c r="G28" s="393"/>
      <c r="H28" s="393"/>
      <c r="I28" s="393"/>
      <c r="J28" s="393"/>
      <c r="K28" s="393"/>
      <c r="L28" s="393"/>
      <c r="M28" s="235">
        <f ca="1">NOW()</f>
        <v>41359.56477372685</v>
      </c>
      <c r="N28" s="236" t="s">
        <v>19</v>
      </c>
      <c r="O28" s="192" t="s">
        <v>20</v>
      </c>
      <c r="P28" s="192" t="s">
        <v>21</v>
      </c>
      <c r="Q28" s="192" t="s">
        <v>22</v>
      </c>
      <c r="R28" s="395" t="s">
        <v>8</v>
      </c>
      <c r="S28" s="396"/>
      <c r="T28" s="195"/>
      <c r="U28" s="195"/>
      <c r="V28" s="195"/>
      <c r="W28" s="526" t="s">
        <v>69</v>
      </c>
      <c r="X28" s="527"/>
      <c r="Y28" s="237"/>
      <c r="Z28" s="237"/>
      <c r="AA28" s="222" t="s">
        <v>23</v>
      </c>
      <c r="AB28" s="385" t="s">
        <v>24</v>
      </c>
      <c r="AC28" s="386"/>
      <c r="AD28" s="122"/>
      <c r="AE28" s="122"/>
      <c r="AF28" s="122"/>
    </row>
    <row r="29" spans="14:29" ht="19.5" customHeight="1" thickBot="1">
      <c r="N29" s="123">
        <v>1</v>
      </c>
      <c r="O29" s="124"/>
      <c r="P29" s="125">
        <f>AC25</f>
        <v>24.78848</v>
      </c>
      <c r="Q29" s="126">
        <v>0</v>
      </c>
      <c r="R29" s="387">
        <f>P29+Q29</f>
        <v>24.78848</v>
      </c>
      <c r="S29" s="388"/>
      <c r="T29" s="127"/>
      <c r="U29" s="128"/>
      <c r="V29" s="128"/>
      <c r="W29" s="119"/>
      <c r="X29" s="129">
        <f>AC27/AA29</f>
        <v>1.6525653333333332</v>
      </c>
      <c r="Y29" s="129"/>
      <c r="Z29" s="129"/>
      <c r="AA29" s="130">
        <v>0.3</v>
      </c>
      <c r="AB29" s="389">
        <f ca="1">NOW()</f>
        <v>41359.56477372685</v>
      </c>
      <c r="AC29" s="390"/>
    </row>
  </sheetData>
  <sheetProtection/>
  <mergeCells count="108">
    <mergeCell ref="AB28:AC28"/>
    <mergeCell ref="R29:S29"/>
    <mergeCell ref="AB29:AC29"/>
    <mergeCell ref="W27:Z27"/>
    <mergeCell ref="B28:C28"/>
    <mergeCell ref="G28:H28"/>
    <mergeCell ref="I28:J28"/>
    <mergeCell ref="K28:L28"/>
    <mergeCell ref="R28:S28"/>
    <mergeCell ref="W28:X28"/>
    <mergeCell ref="R26:S26"/>
    <mergeCell ref="B27:C27"/>
    <mergeCell ref="G27:H27"/>
    <mergeCell ref="I27:J27"/>
    <mergeCell ref="K27:L27"/>
    <mergeCell ref="N27:P27"/>
    <mergeCell ref="R27:S27"/>
    <mergeCell ref="A24:K24"/>
    <mergeCell ref="N24:Q24"/>
    <mergeCell ref="A25:E25"/>
    <mergeCell ref="G25:H25"/>
    <mergeCell ref="I25:K25"/>
    <mergeCell ref="P25:Q25"/>
    <mergeCell ref="A22:D22"/>
    <mergeCell ref="E22:F22"/>
    <mergeCell ref="H22:M22"/>
    <mergeCell ref="N22:Q22"/>
    <mergeCell ref="N23:Q23"/>
    <mergeCell ref="R23:AB23"/>
    <mergeCell ref="A20:D20"/>
    <mergeCell ref="E20:F20"/>
    <mergeCell ref="H20:M20"/>
    <mergeCell ref="N20:Q20"/>
    <mergeCell ref="A21:D21"/>
    <mergeCell ref="E21:F21"/>
    <mergeCell ref="H21:M21"/>
    <mergeCell ref="N21:Q21"/>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X5:Y5"/>
    <mergeCell ref="A6:D6"/>
    <mergeCell ref="E6:F6"/>
    <mergeCell ref="H6:M6"/>
    <mergeCell ref="N6:Q6"/>
    <mergeCell ref="A7:D7"/>
    <mergeCell ref="E7:F7"/>
    <mergeCell ref="H7:M7"/>
    <mergeCell ref="N7:Q7"/>
    <mergeCell ref="C3:G4"/>
    <mergeCell ref="P3:V4"/>
    <mergeCell ref="A5:D5"/>
    <mergeCell ref="E5:F5"/>
    <mergeCell ref="G5:M5"/>
    <mergeCell ref="N5:Q5"/>
    <mergeCell ref="A1:K1"/>
    <mergeCell ref="N1:AC1"/>
    <mergeCell ref="A2:B2"/>
    <mergeCell ref="C2:G2"/>
    <mergeCell ref="K2:L2"/>
    <mergeCell ref="N2:O2"/>
    <mergeCell ref="P2:T2"/>
    <mergeCell ref="AA2:AC2"/>
  </mergeCells>
  <hyperlinks>
    <hyperlink ref="M1" location="'Menu List'!A1" display="BACK TO THE MENU LIST"/>
  </hyperlinks>
  <printOptions/>
  <pageMargins left="0.7" right="0.7" top="0.75" bottom="0.75" header="0.3" footer="0.3"/>
  <pageSetup horizontalDpi="600" verticalDpi="600" orientation="landscape" scale="7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Littel, Russell Mr CIV USA IMCOM FMWRC</dc:creator>
  <cp:keywords/>
  <dc:description/>
  <cp:lastModifiedBy>test</cp:lastModifiedBy>
  <cp:lastPrinted>2012-12-07T18:31:54Z</cp:lastPrinted>
  <dcterms:created xsi:type="dcterms:W3CDTF">1999-11-12T20:46:21Z</dcterms:created>
  <dcterms:modified xsi:type="dcterms:W3CDTF">2013-03-26T18:33:45Z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